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LIFTON\Desktop\GAM 2019\GAM Data, Analysis\Colombia\RMRP\"/>
    </mc:Choice>
  </mc:AlternateContent>
  <xr:revisionPtr revIDLastSave="0" documentId="13_ncr:1_{77497898-A671-49B8-BD9B-6E8E8E2D93EB}" xr6:coauthVersionLast="41" xr6:coauthVersionMax="41" xr10:uidLastSave="{00000000-0000-0000-0000-000000000000}"/>
  <bookViews>
    <workbookView xWindow="-120" yWindow="-120" windowWidth="20730" windowHeight="11160" tabRatio="894" firstSheet="1" activeTab="1" xr2:uid="{6F4E14B5-58FB-4FD3-894C-DD4982C8E448}"/>
  </bookViews>
  <sheets>
    <sheet name="Intro" sheetId="1" state="hidden" r:id="rId1"/>
    <sheet name="Design Data" sheetId="2" r:id="rId2"/>
    <sheet name="Countries" sheetId="24" state="hidden" r:id="rId3"/>
    <sheet name="Coding Data" sheetId="19" r:id="rId4"/>
    <sheet name="GAM Codes" sheetId="23" r:id="rId5"/>
    <sheet name="GEM Codes" sheetId="21" r:id="rId6"/>
    <sheet name="Project Focus" sheetId="20" r:id="rId7"/>
    <sheet name="Design - Analysis" sheetId="4" r:id="rId8"/>
    <sheet name="Analysis - gender" sheetId="5" r:id="rId9"/>
    <sheet name="Analysis - Age" sheetId="6" r:id="rId10"/>
    <sheet name="GEM A Results" sheetId="7" r:id="rId11"/>
    <sheet name="Design - Activities Tailoring" sheetId="8" r:id="rId12"/>
    <sheet name="Tailoring - Gender" sheetId="9" r:id="rId13"/>
    <sheet name="GEM D Results" sheetId="10" r:id="rId14"/>
    <sheet name="Design - Participation" sheetId="11" r:id="rId15"/>
    <sheet name="Participation - Gender" sheetId="12" r:id="rId16"/>
    <sheet name="Participation - Age" sheetId="13" r:id="rId17"/>
    <sheet name="GEM G Results" sheetId="14" r:id="rId18"/>
    <sheet name="Design - Benefit Indicators" sheetId="15" r:id="rId19"/>
    <sheet name="Benefits - Gender" sheetId="16" r:id="rId20"/>
    <sheet name="Benefits - Age" sheetId="17" r:id="rId21"/>
    <sheet name="GEM J Results" sheetId="18" r:id="rId22"/>
  </sheets>
  <externalReferences>
    <externalReference r:id="rId23"/>
    <externalReference r:id="rId2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9" l="1"/>
  <c r="C17" i="19"/>
  <c r="C16" i="19"/>
  <c r="C15" i="19"/>
  <c r="C14" i="19"/>
  <c r="C13" i="19"/>
  <c r="C12" i="19"/>
  <c r="C11" i="19"/>
  <c r="C10" i="19"/>
  <c r="C9" i="19"/>
  <c r="D151" i="2"/>
  <c r="D139" i="2"/>
  <c r="D112" i="2"/>
  <c r="D102" i="2"/>
  <c r="D78" i="2"/>
  <c r="D68" i="2"/>
  <c r="D44" i="2"/>
  <c r="D34" i="2"/>
  <c r="D172" i="2"/>
  <c r="D171" i="2"/>
  <c r="D170" i="2"/>
  <c r="D166" i="2"/>
  <c r="D165" i="2"/>
  <c r="D164" i="2"/>
  <c r="D163" i="2"/>
  <c r="D162" i="2"/>
  <c r="D158" i="2"/>
  <c r="D157" i="2"/>
  <c r="D156" i="2"/>
  <c r="D155" i="2"/>
  <c r="D154" i="2"/>
  <c r="D150" i="2"/>
  <c r="D149" i="2"/>
  <c r="D148" i="2"/>
  <c r="D147" i="2"/>
  <c r="D146" i="2"/>
  <c r="D145" i="2"/>
  <c r="D144" i="2"/>
  <c r="D143" i="2"/>
  <c r="H142" i="2"/>
  <c r="D142" i="2"/>
  <c r="D138" i="2"/>
  <c r="D137" i="2"/>
  <c r="D136" i="2"/>
  <c r="D135" i="2"/>
  <c r="D134" i="2"/>
  <c r="H133" i="2"/>
  <c r="D133" i="2"/>
  <c r="H132" i="2"/>
  <c r="D132" i="2"/>
  <c r="H131" i="2"/>
  <c r="D131" i="2"/>
  <c r="D127" i="2"/>
  <c r="D126" i="2"/>
  <c r="D125" i="2"/>
  <c r="D124" i="2"/>
  <c r="D123" i="2"/>
  <c r="D119" i="2"/>
  <c r="D118" i="2"/>
  <c r="D117" i="2"/>
  <c r="D116" i="2"/>
  <c r="D115" i="2"/>
  <c r="D111" i="2"/>
  <c r="D110" i="2"/>
  <c r="D109" i="2"/>
  <c r="D108" i="2"/>
  <c r="D107" i="2"/>
  <c r="D106" i="2"/>
  <c r="H105" i="2"/>
  <c r="D105" i="2"/>
  <c r="D101" i="2"/>
  <c r="D100" i="2"/>
  <c r="H99" i="2"/>
  <c r="D99" i="2"/>
  <c r="H98" i="2"/>
  <c r="D98" i="2"/>
  <c r="H97" i="2"/>
  <c r="D97" i="2"/>
  <c r="D96" i="2"/>
  <c r="D93" i="2"/>
  <c r="D92" i="2"/>
  <c r="D91" i="2"/>
  <c r="D90" i="2"/>
  <c r="H89" i="2"/>
  <c r="D89" i="2"/>
  <c r="D85" i="2"/>
  <c r="D84" i="2"/>
  <c r="D83" i="2"/>
  <c r="D82" i="2"/>
  <c r="D81" i="2"/>
  <c r="D77" i="2"/>
  <c r="D76" i="2"/>
  <c r="D75" i="2"/>
  <c r="D74" i="2"/>
  <c r="D73" i="2"/>
  <c r="D72" i="2"/>
  <c r="H71" i="2"/>
  <c r="D71" i="2"/>
  <c r="D67" i="2"/>
  <c r="D66" i="2"/>
  <c r="D65" i="2"/>
  <c r="H64" i="2"/>
  <c r="D64" i="2"/>
  <c r="H63" i="2"/>
  <c r="D63" i="2"/>
  <c r="D62" i="2"/>
  <c r="D61" i="2"/>
  <c r="D58" i="2"/>
  <c r="D57" i="2"/>
  <c r="D56" i="2"/>
  <c r="D55" i="2"/>
  <c r="D51" i="2"/>
  <c r="D50" i="2"/>
  <c r="D49" i="2"/>
  <c r="D48" i="2"/>
  <c r="D47" i="2"/>
  <c r="D43" i="2"/>
  <c r="D42" i="2"/>
  <c r="D41" i="2"/>
  <c r="D40" i="2"/>
  <c r="D39" i="2"/>
  <c r="D38" i="2"/>
  <c r="H37" i="2"/>
  <c r="D37" i="2"/>
  <c r="D33" i="2"/>
  <c r="D32" i="2"/>
  <c r="D31" i="2"/>
  <c r="H30" i="2"/>
  <c r="D30" i="2"/>
  <c r="H29" i="2"/>
  <c r="D29" i="2"/>
  <c r="D26" i="2"/>
  <c r="D25" i="2"/>
  <c r="D24" i="2"/>
  <c r="D167" i="2" l="1"/>
  <c r="D120" i="2" l="1"/>
  <c r="B19" i="24"/>
  <c r="I89" i="2" l="1"/>
  <c r="C19" i="19" l="1"/>
  <c r="E14" i="19" s="1"/>
  <c r="J6" i="19"/>
  <c r="J5" i="19"/>
  <c r="J4" i="19"/>
  <c r="J2" i="19"/>
  <c r="E151" i="2"/>
  <c r="I142" i="2"/>
  <c r="I133" i="2"/>
  <c r="I132" i="2"/>
  <c r="I131" i="2"/>
  <c r="I105" i="2"/>
  <c r="I99" i="2"/>
  <c r="I98" i="2"/>
  <c r="I97" i="2"/>
  <c r="I71" i="2"/>
  <c r="I64" i="2"/>
  <c r="I63" i="2"/>
  <c r="E139" i="2"/>
  <c r="E112" i="2"/>
  <c r="E102" i="2"/>
  <c r="E101" i="2"/>
  <c r="E100" i="2"/>
  <c r="E99" i="2"/>
  <c r="E98" i="2"/>
  <c r="E97" i="2"/>
  <c r="E96" i="2"/>
  <c r="E92" i="2"/>
  <c r="E91" i="2"/>
  <c r="E90" i="2"/>
  <c r="E89" i="2"/>
  <c r="E93" i="2"/>
  <c r="E85" i="2"/>
  <c r="E84" i="2"/>
  <c r="E83" i="2"/>
  <c r="E82" i="2"/>
  <c r="E81" i="2"/>
  <c r="E78" i="2"/>
  <c r="E68" i="2"/>
  <c r="E34" i="2"/>
  <c r="E67" i="2"/>
  <c r="E66" i="2"/>
  <c r="E65" i="2"/>
  <c r="E64" i="2"/>
  <c r="E63" i="2"/>
  <c r="E62" i="2"/>
  <c r="E61" i="2"/>
  <c r="E58" i="2"/>
  <c r="E57" i="2"/>
  <c r="E56" i="2"/>
  <c r="E55" i="2"/>
  <c r="E51" i="2"/>
  <c r="E50" i="2"/>
  <c r="E49" i="2"/>
  <c r="E48" i="2"/>
  <c r="E37" i="2"/>
  <c r="E44" i="2"/>
  <c r="I37" i="2"/>
  <c r="E43" i="2"/>
  <c r="E42" i="2"/>
  <c r="E41" i="2"/>
  <c r="E40" i="2"/>
  <c r="E39" i="2"/>
  <c r="E38" i="2"/>
  <c r="I30" i="2"/>
  <c r="I29" i="2"/>
  <c r="E33" i="2"/>
  <c r="E32" i="2"/>
  <c r="E31" i="2"/>
  <c r="E30" i="2"/>
  <c r="E29" i="2"/>
  <c r="E47" i="2" l="1"/>
  <c r="D52" i="2"/>
  <c r="E15" i="19"/>
  <c r="E10" i="19"/>
  <c r="E17" i="19"/>
  <c r="E18" i="19"/>
  <c r="E12" i="19"/>
  <c r="E13" i="19"/>
  <c r="E16" i="19"/>
  <c r="E9" i="19"/>
  <c r="E11" i="19"/>
  <c r="E164" i="2"/>
  <c r="E165" i="2"/>
  <c r="E163" i="2"/>
  <c r="J3" i="19"/>
  <c r="E162" i="2"/>
  <c r="E166" i="2"/>
  <c r="D159" i="2"/>
  <c r="D128" i="2"/>
  <c r="E128" i="2" s="1"/>
  <c r="E26" i="2"/>
  <c r="E25" i="2"/>
  <c r="E24" i="2"/>
  <c r="E19" i="19" l="1"/>
  <c r="D86" i="2"/>
  <c r="D59" i="2"/>
  <c r="D27" i="2"/>
  <c r="E52" i="2" l="1"/>
  <c r="E125" i="2"/>
  <c r="E59" i="2" l="1"/>
  <c r="D173" i="2" l="1"/>
  <c r="E170" i="2" s="1"/>
  <c r="H2" i="19"/>
  <c r="E127" i="2"/>
  <c r="E126" i="2"/>
  <c r="E124" i="2"/>
  <c r="E123" i="2"/>
  <c r="F4" i="19"/>
  <c r="D3" i="19"/>
  <c r="B2" i="19"/>
  <c r="E150" i="2"/>
  <c r="E149" i="2"/>
  <c r="E148" i="2"/>
  <c r="E147" i="2"/>
  <c r="E146" i="2"/>
  <c r="E145" i="2"/>
  <c r="E144" i="2"/>
  <c r="E143" i="2"/>
  <c r="E142" i="2"/>
  <c r="E138" i="2"/>
  <c r="E137" i="2"/>
  <c r="E136" i="2"/>
  <c r="E135" i="2"/>
  <c r="E134" i="2"/>
  <c r="E133" i="2"/>
  <c r="E132" i="2"/>
  <c r="E131" i="2"/>
  <c r="E111" i="2"/>
  <c r="E110" i="2"/>
  <c r="E109" i="2"/>
  <c r="E108" i="2"/>
  <c r="E107" i="2"/>
  <c r="E106" i="2"/>
  <c r="E105" i="2"/>
  <c r="E77" i="2"/>
  <c r="E76" i="2"/>
  <c r="E75" i="2"/>
  <c r="E74" i="2"/>
  <c r="E73" i="2"/>
  <c r="E72" i="2"/>
  <c r="E71" i="2"/>
  <c r="D53" i="1"/>
  <c r="E53" i="1" s="1"/>
  <c r="D52" i="1"/>
  <c r="E52" i="1" s="1"/>
  <c r="D51" i="1"/>
  <c r="E51" i="1" s="1"/>
  <c r="D48" i="1"/>
  <c r="E48" i="1" s="1"/>
  <c r="D47" i="1"/>
  <c r="E47" i="1" s="1"/>
  <c r="D46" i="1"/>
  <c r="E46" i="1" s="1"/>
  <c r="D45" i="1"/>
  <c r="E45" i="1" s="1"/>
  <c r="D44" i="1"/>
  <c r="E44" i="1" s="1"/>
  <c r="D43" i="1"/>
  <c r="E43" i="1" s="1"/>
  <c r="D40" i="1"/>
  <c r="E40" i="1" s="1"/>
  <c r="D39" i="1"/>
  <c r="E39" i="1" s="1"/>
  <c r="D38" i="1"/>
  <c r="E38" i="1" s="1"/>
  <c r="D37" i="1"/>
  <c r="E37" i="1" s="1"/>
  <c r="D36" i="1"/>
  <c r="E36" i="1" s="1"/>
  <c r="D35" i="1"/>
  <c r="E35" i="1" s="1"/>
  <c r="E172" i="2" l="1"/>
  <c r="E27" i="2"/>
  <c r="J7" i="19"/>
  <c r="E171" i="2"/>
  <c r="B4" i="19"/>
  <c r="D5" i="19"/>
  <c r="B6" i="19"/>
  <c r="D2" i="19"/>
  <c r="E118" i="2"/>
  <c r="F5" i="19"/>
  <c r="E155" i="2"/>
  <c r="H3" i="19"/>
  <c r="E115" i="2"/>
  <c r="F2" i="19"/>
  <c r="E119" i="2"/>
  <c r="F6" i="19"/>
  <c r="E156" i="2"/>
  <c r="H4" i="19"/>
  <c r="E154" i="2"/>
  <c r="H6" i="19"/>
  <c r="E117" i="2"/>
  <c r="B5" i="19"/>
  <c r="D6" i="19"/>
  <c r="B3" i="19"/>
  <c r="D4" i="19"/>
  <c r="E116" i="2"/>
  <c r="F3" i="19"/>
  <c r="E157" i="2"/>
  <c r="H5" i="19"/>
  <c r="E158" i="2"/>
  <c r="E173" i="2" l="1"/>
  <c r="B7" i="19"/>
  <c r="C5" i="19" s="1"/>
  <c r="H7" i="19"/>
  <c r="F7" i="19"/>
  <c r="D7" i="19"/>
  <c r="C6" i="19" l="1"/>
  <c r="E5" i="19"/>
  <c r="G5" i="19"/>
  <c r="I6" i="19"/>
  <c r="I5" i="19"/>
  <c r="C4" i="19"/>
  <c r="I3" i="19"/>
  <c r="E2" i="19"/>
  <c r="I4" i="19"/>
  <c r="G6" i="19"/>
  <c r="G2" i="19"/>
  <c r="C2" i="19"/>
  <c r="E3" i="19"/>
  <c r="K3" i="19"/>
  <c r="K4" i="19"/>
  <c r="K5" i="19"/>
  <c r="K6" i="19"/>
  <c r="G4" i="19"/>
  <c r="I2" i="19"/>
  <c r="K2" i="19"/>
  <c r="E4" i="19"/>
  <c r="C3" i="19"/>
  <c r="E6" i="19"/>
  <c r="G3" i="19"/>
</calcChain>
</file>

<file path=xl/sharedStrings.xml><?xml version="1.0" encoding="utf-8"?>
<sst xmlns="http://schemas.openxmlformats.org/spreadsheetml/2006/main" count="419" uniqueCount="234">
  <si>
    <t>name</t>
  </si>
  <si>
    <t>YES</t>
  </si>
  <si>
    <t>I have a reference number that I will enter below</t>
  </si>
  <si>
    <t>NONE</t>
  </si>
  <si>
    <t>I'm registering a new project and don't have a reference number</t>
  </si>
  <si>
    <t>FORGOT</t>
  </si>
  <si>
    <t>I previously registered this project but I have forgotten my reference number</t>
  </si>
  <si>
    <t>CCM</t>
  </si>
  <si>
    <t>Camp Coordination / Management (CCCM)</t>
  </si>
  <si>
    <t>ERY</t>
  </si>
  <si>
    <t>Early Recovery</t>
  </si>
  <si>
    <t>EDU</t>
  </si>
  <si>
    <t>Education</t>
  </si>
  <si>
    <t>TEL</t>
  </si>
  <si>
    <t>Emergency Telecommunications</t>
  </si>
  <si>
    <t>FSC</t>
  </si>
  <si>
    <t>Food Security</t>
  </si>
  <si>
    <t>HEA</t>
  </si>
  <si>
    <t>Health</t>
  </si>
  <si>
    <t>HEA-REP</t>
  </si>
  <si>
    <t>Reproductive Health</t>
  </si>
  <si>
    <t>HEA-MHP</t>
  </si>
  <si>
    <t>MHPSS</t>
  </si>
  <si>
    <t>LVH</t>
  </si>
  <si>
    <t>Livelihoods</t>
  </si>
  <si>
    <t>LOG</t>
  </si>
  <si>
    <t>Logistics</t>
  </si>
  <si>
    <t>NFI</t>
  </si>
  <si>
    <t>NFIs</t>
  </si>
  <si>
    <t>NUT</t>
  </si>
  <si>
    <t>Nutrition</t>
  </si>
  <si>
    <t>PRO</t>
  </si>
  <si>
    <t>Protection</t>
  </si>
  <si>
    <t>PRO-CPN</t>
  </si>
  <si>
    <t>Child Protection</t>
  </si>
  <si>
    <t>PRO-GBV</t>
  </si>
  <si>
    <t>Gender-Based Violence</t>
  </si>
  <si>
    <t>PRO-HLP</t>
  </si>
  <si>
    <t>Housing Land &amp; Property</t>
  </si>
  <si>
    <t>PRO-MIN</t>
  </si>
  <si>
    <t>Mine Action</t>
  </si>
  <si>
    <t>SHL</t>
  </si>
  <si>
    <t>Shelter</t>
  </si>
  <si>
    <t>WSH</t>
  </si>
  <si>
    <t>WASH</t>
  </si>
  <si>
    <t>OTHER</t>
  </si>
  <si>
    <t>Other</t>
  </si>
  <si>
    <t>CT</t>
  </si>
  <si>
    <t>The project has no contact with affected people</t>
  </si>
  <si>
    <t>SL</t>
  </si>
  <si>
    <t>The project has no influence on the selection of goods and services</t>
  </si>
  <si>
    <t>DV</t>
  </si>
  <si>
    <t>The project has no influence on how goods and services are delivered</t>
  </si>
  <si>
    <t>W</t>
  </si>
  <si>
    <t>Women</t>
  </si>
  <si>
    <t>G</t>
  </si>
  <si>
    <t>Girls</t>
  </si>
  <si>
    <t>B</t>
  </si>
  <si>
    <t>Boys</t>
  </si>
  <si>
    <t>M</t>
  </si>
  <si>
    <t>Men</t>
  </si>
  <si>
    <t>D</t>
  </si>
  <si>
    <t>Diverse gender</t>
  </si>
  <si>
    <t>SGI</t>
  </si>
  <si>
    <t>SGP</t>
  </si>
  <si>
    <t>Project only works with one gender group</t>
  </si>
  <si>
    <t>NS</t>
  </si>
  <si>
    <t>Gender not specified</t>
  </si>
  <si>
    <t>NA</t>
  </si>
  <si>
    <t>Not applicable</t>
  </si>
  <si>
    <t>EQA</t>
  </si>
  <si>
    <t>Are all the same because everyone should get the same</t>
  </si>
  <si>
    <t>YC</t>
  </si>
  <si>
    <t>Young children</t>
  </si>
  <si>
    <t>CH</t>
  </si>
  <si>
    <t>Children</t>
  </si>
  <si>
    <t>AD</t>
  </si>
  <si>
    <t>Adolescents</t>
  </si>
  <si>
    <t>YA</t>
  </si>
  <si>
    <t>Young adults</t>
  </si>
  <si>
    <t>MA</t>
  </si>
  <si>
    <t>Middle-aged adults</t>
  </si>
  <si>
    <t>OA</t>
  </si>
  <si>
    <t>Older adults</t>
  </si>
  <si>
    <t>Project only works with one age group</t>
  </si>
  <si>
    <t>Age not specified</t>
  </si>
  <si>
    <t>Design phase</t>
  </si>
  <si>
    <t>Monitoring phase - During implementation</t>
  </si>
  <si>
    <t>E</t>
  </si>
  <si>
    <t>Monitoring phase - End of project</t>
  </si>
  <si>
    <t>Needs, roles and dynamics</t>
  </si>
  <si>
    <t>Needs</t>
  </si>
  <si>
    <t>No needs analysis yet</t>
  </si>
  <si>
    <t>Different needs, roles and dynamics</t>
  </si>
  <si>
    <t>Assessing needs</t>
  </si>
  <si>
    <t>Designing activities</t>
  </si>
  <si>
    <t>Delivering assistance</t>
  </si>
  <si>
    <t>Age</t>
  </si>
  <si>
    <t>DJ</t>
  </si>
  <si>
    <t>label</t>
  </si>
  <si>
    <t>PP_HavePGRN</t>
  </si>
  <si>
    <t>options</t>
  </si>
  <si>
    <t>If you are updating information about a project that you have already previously registered in this tool, then please enter your Project GAM Reference Number below.</t>
  </si>
  <si>
    <t>PH_Phase</t>
  </si>
  <si>
    <t>Select project phase</t>
  </si>
  <si>
    <t>PJ_Sectors</t>
  </si>
  <si>
    <t>Select sectors/clusters</t>
  </si>
  <si>
    <t>PJ_GenGrps</t>
  </si>
  <si>
    <t>Gender groups</t>
  </si>
  <si>
    <t>PJ_AgeGrps</t>
  </si>
  <si>
    <t>Age groups</t>
  </si>
  <si>
    <t>PJ_ConfirmNA</t>
  </si>
  <si>
    <t>Please confirm that gender groups are not applicable</t>
  </si>
  <si>
    <t>DA_Action</t>
  </si>
  <si>
    <t>There is a written needs analysis in the proposal which discusses:</t>
  </si>
  <si>
    <t>DA_Gender</t>
  </si>
  <si>
    <t>The distinct needs etc. of the following gender group(s) are discussed in the written needs analysis:</t>
  </si>
  <si>
    <t>The following age groups of women, girls, boys and men are discussed in this needs gender analysis:</t>
  </si>
  <si>
    <t>DA_Age</t>
  </si>
  <si>
    <t>DA</t>
  </si>
  <si>
    <t>Design GEM A</t>
  </si>
  <si>
    <t>DD</t>
  </si>
  <si>
    <t>Design GEM D</t>
  </si>
  <si>
    <t>DD_Action</t>
  </si>
  <si>
    <t>The proposed assistance is tailored based on:</t>
  </si>
  <si>
    <t>DD_Gender</t>
  </si>
  <si>
    <t>The activities/items are tailored on the distinct needs/roles/dynamics/discrimination of the following gender group(s):</t>
  </si>
  <si>
    <t>The activities/items are tailored for the following age group(s) of women, girls, boys and/or men:</t>
  </si>
  <si>
    <t>DD_Age</t>
  </si>
  <si>
    <t>Design GEM G</t>
  </si>
  <si>
    <t>DG</t>
  </si>
  <si>
    <t>DG_Action</t>
  </si>
  <si>
    <t>The proposal outlines how it engages affected people in the following processes of project management:</t>
  </si>
  <si>
    <t>DG_Gender</t>
  </si>
  <si>
    <t>The following gender groups directly influence project management:</t>
  </si>
  <si>
    <t>The following age groups of women, girls, boys and men directly influence project management:</t>
  </si>
  <si>
    <t>DG_Age</t>
  </si>
  <si>
    <t>Design GEM J</t>
  </si>
  <si>
    <t>DJ_Action</t>
  </si>
  <si>
    <t>The proposal contains at least one indicator that measures distinct benefits for people in need:</t>
  </si>
  <si>
    <t>DJ_Gender</t>
  </si>
  <si>
    <t>At least one indicator is disaggregated by the following gender groups:</t>
  </si>
  <si>
    <t>DJ_Age</t>
  </si>
  <si>
    <t>At least one indicator is disaggregated by the following age groups:</t>
  </si>
  <si>
    <t>Gender</t>
  </si>
  <si>
    <t>STANDARD RESPONSES</t>
  </si>
  <si>
    <t>In the sections below, expand [+] to see all responses, collapse [-] to see non-standard responses only</t>
  </si>
  <si>
    <t>GEM CODE A</t>
  </si>
  <si>
    <t>GEM CODE D</t>
  </si>
  <si>
    <t>GEM CODE J</t>
  </si>
  <si>
    <t>GEM CODE G</t>
  </si>
  <si>
    <t>TOTAL PROJECTS NOT INCLUDING N/A</t>
  </si>
  <si>
    <t>(total projects INCLUDING N/A - ENTER MANUALLY)</t>
  </si>
  <si>
    <t>Code 4 - Gender &amp; Age</t>
  </si>
  <si>
    <t>Code 3 -Gender Only</t>
  </si>
  <si>
    <t>Code 2 - Age Only</t>
  </si>
  <si>
    <t xml:space="preserve">Code 1 - No gender or age </t>
  </si>
  <si>
    <t>Code 0 - No Analysis</t>
  </si>
  <si>
    <t>Code 0 - No Tailoring</t>
  </si>
  <si>
    <t>Not involved</t>
  </si>
  <si>
    <t>Reviewing, changing</t>
  </si>
  <si>
    <t>Indicators measure needs met</t>
  </si>
  <si>
    <t>Indicators measure activities delivered</t>
  </si>
  <si>
    <t>No indicators</t>
  </si>
  <si>
    <t>Indicators unrelated to benefits</t>
  </si>
  <si>
    <t>Code 0 - No Benefit Indicators</t>
  </si>
  <si>
    <t>Code 0 - No Participation</t>
  </si>
  <si>
    <t>PROJECT GAM CODES</t>
  </si>
  <si>
    <t>PROJECT GAM CODE</t>
  </si>
  <si>
    <t>Code 4 - Gender &amp; Age Addressed</t>
  </si>
  <si>
    <t>T</t>
  </si>
  <si>
    <t>Total</t>
  </si>
  <si>
    <t>PROJECT FOCUS</t>
  </si>
  <si>
    <t>Gender mainstreamed</t>
  </si>
  <si>
    <t>Targeted (project purpose is to increase equality)</t>
  </si>
  <si>
    <t>0 - Element not present</t>
  </si>
  <si>
    <t>One group monitored though project serves all</t>
  </si>
  <si>
    <t># Projects</t>
  </si>
  <si>
    <t>%</t>
  </si>
  <si>
    <t>#
(GEM D)</t>
  </si>
  <si>
    <t>#
(GEM G)</t>
  </si>
  <si>
    <t>#
(GEM J)</t>
  </si>
  <si>
    <t># GAM CODES</t>
  </si>
  <si>
    <t>Activities do not address needs</t>
  </si>
  <si>
    <t>Social gendered barriers &amp; discrimination</t>
  </si>
  <si>
    <t>3 2</t>
  </si>
  <si>
    <t>Indicators measure BOTH needs met &amp; activities delivered</t>
  </si>
  <si>
    <t>Analysis 
(GEM A)</t>
  </si>
  <si>
    <t>Analysis 
(GEM D)</t>
  </si>
  <si>
    <t>Analysis 
(GEM G)</t>
  </si>
  <si>
    <t>Analysis 
(GEM J)</t>
  </si>
  <si>
    <t>Blanks</t>
  </si>
  <si>
    <t xml:space="preserve">ALL </t>
  </si>
  <si>
    <t>wgbm</t>
  </si>
  <si>
    <t>D only</t>
  </si>
  <si>
    <t>ALL</t>
  </si>
  <si>
    <t>Code 3 - Gender (only) Addressed</t>
  </si>
  <si>
    <t>Code 2 - Age (only) Addressed</t>
  </si>
  <si>
    <t>Code 1 - Neither gender/age</t>
  </si>
  <si>
    <t># Projects
(GEM A)</t>
  </si>
  <si>
    <t>Gender Not Applicable</t>
  </si>
  <si>
    <t>4M</t>
  </si>
  <si>
    <t>4T</t>
  </si>
  <si>
    <t>3M</t>
  </si>
  <si>
    <t>3T</t>
  </si>
  <si>
    <t>2M</t>
  </si>
  <si>
    <t>1M</t>
  </si>
  <si>
    <t>1T</t>
  </si>
  <si>
    <t>Codes</t>
  </si>
  <si>
    <t>Country</t>
  </si>
  <si>
    <t>Total # of Projects</t>
  </si>
  <si>
    <t>Argentina</t>
  </si>
  <si>
    <t>Aruba</t>
  </si>
  <si>
    <t>Bolivia</t>
  </si>
  <si>
    <t>Chile</t>
  </si>
  <si>
    <t>Colombia</t>
  </si>
  <si>
    <t>Costa Rica</t>
  </si>
  <si>
    <t>Curacao</t>
  </si>
  <si>
    <t>Dominican Republic</t>
  </si>
  <si>
    <t>Ecuador</t>
  </si>
  <si>
    <t>Guyana</t>
  </si>
  <si>
    <t>Mexico</t>
  </si>
  <si>
    <t>Panama</t>
  </si>
  <si>
    <t>Peru</t>
  </si>
  <si>
    <t>Paraguay</t>
  </si>
  <si>
    <t>Trinidad &amp; Tobago</t>
  </si>
  <si>
    <t>Uruguay</t>
  </si>
  <si>
    <t>Gender Analysis Quality</t>
  </si>
  <si>
    <t>Good</t>
  </si>
  <si>
    <t>Limited</t>
  </si>
  <si>
    <t>Not yet /none</t>
  </si>
  <si>
    <t>2T</t>
  </si>
  <si>
    <t>ch</t>
  </si>
  <si>
    <t>TOTAL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</si>
</sst>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8"/>
      <color theme="1"/>
      <name val="Arial"/>
      <family val="2"/>
    </font>
    <font>
      <sz val="8"/>
      <name val="Arial"/>
      <family val="2"/>
    </font>
    <font>
      <b/>
      <sz val="8"/>
      <color theme="1"/>
      <name val="Arial"/>
      <family val="2"/>
    </font>
    <font>
      <b/>
      <sz val="8"/>
      <name val="Arial"/>
      <family val="2"/>
    </font>
    <font>
      <b/>
      <sz val="11"/>
      <color theme="1"/>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
      <color rgb="FF000000"/>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8">
    <border>
      <left/>
      <right/>
      <top/>
      <bottom/>
      <diagonal/>
    </border>
    <border>
      <left/>
      <right/>
      <top/>
      <bottom style="thin">
        <color indexed="64"/>
      </bottom>
      <diagonal/>
    </border>
    <border>
      <left/>
      <right/>
      <top style="thin">
        <color theme="4" tint="0.39997558519241921"/>
      </top>
      <bottom style="thin">
        <color theme="4" tint="0.39997558519241921"/>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4">
    <xf numFmtId="0" fontId="0" fillId="0" borderId="0" xfId="0"/>
    <xf numFmtId="0" fontId="1" fillId="0" borderId="0" xfId="0" applyFont="1" applyAlignment="1">
      <alignment vertical="top"/>
    </xf>
    <xf numFmtId="0" fontId="1" fillId="0" borderId="0" xfId="0" applyFont="1" applyAlignment="1">
      <alignment vertical="top" wrapText="1"/>
    </xf>
    <xf numFmtId="0" fontId="2" fillId="0" borderId="0" xfId="0" applyFont="1" applyFill="1" applyBorder="1" applyAlignment="1" applyProtection="1">
      <alignment vertical="top"/>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vertical="top" wrapText="1"/>
    </xf>
    <xf numFmtId="0" fontId="3" fillId="0" borderId="0" xfId="0" applyFont="1" applyAlignment="1">
      <alignment vertical="top"/>
    </xf>
    <xf numFmtId="0" fontId="3" fillId="0" borderId="0" xfId="0" applyFont="1" applyAlignment="1">
      <alignment vertical="top" wrapText="1"/>
    </xf>
    <xf numFmtId="0" fontId="2" fillId="2" borderId="0" xfId="0" applyFont="1" applyFill="1" applyBorder="1" applyAlignment="1" applyProtection="1">
      <alignment vertical="top"/>
    </xf>
    <xf numFmtId="0" fontId="3" fillId="2" borderId="0" xfId="0" applyFont="1" applyFill="1" applyAlignment="1">
      <alignment vertical="top"/>
    </xf>
    <xf numFmtId="0" fontId="1" fillId="2" borderId="0" xfId="0" applyFont="1" applyFill="1" applyAlignment="1">
      <alignment vertical="top" wrapText="1"/>
    </xf>
    <xf numFmtId="0" fontId="2" fillId="2" borderId="0" xfId="0" applyFont="1" applyFill="1" applyBorder="1" applyAlignment="1" applyProtection="1">
      <alignment horizontal="left" vertical="top"/>
    </xf>
    <xf numFmtId="9" fontId="0" fillId="0" borderId="0" xfId="0" applyNumberFormat="1"/>
    <xf numFmtId="0" fontId="4" fillId="0" borderId="0" xfId="0" applyFont="1" applyFill="1" applyBorder="1" applyAlignment="1" applyProtection="1">
      <alignment horizontal="right" vertical="top" wrapText="1"/>
    </xf>
    <xf numFmtId="0" fontId="5" fillId="0" borderId="0" xfId="0" applyFont="1"/>
    <xf numFmtId="0" fontId="5" fillId="0" borderId="0" xfId="0" applyFont="1" applyAlignment="1">
      <alignment vertical="center"/>
    </xf>
    <xf numFmtId="0" fontId="6" fillId="0" borderId="0" xfId="0" applyFont="1"/>
    <xf numFmtId="0" fontId="7" fillId="0" borderId="0" xfId="0" applyFont="1" applyAlignment="1">
      <alignment horizontal="center" wrapText="1"/>
    </xf>
    <xf numFmtId="0" fontId="7" fillId="0" borderId="0" xfId="0" applyFont="1" applyFill="1"/>
    <xf numFmtId="0" fontId="6" fillId="0" borderId="0" xfId="0" applyFont="1" applyAlignment="1">
      <alignment horizontal="left" wrapText="1"/>
    </xf>
    <xf numFmtId="0" fontId="6" fillId="0" borderId="0" xfId="0" applyFont="1" applyAlignment="1">
      <alignment horizontal="center"/>
    </xf>
    <xf numFmtId="9" fontId="6" fillId="0" borderId="0" xfId="0" applyNumberFormat="1" applyFont="1" applyAlignment="1">
      <alignment horizontal="center"/>
    </xf>
    <xf numFmtId="0" fontId="7" fillId="0" borderId="0" xfId="0" applyFont="1" applyAlignment="1">
      <alignment wrapText="1"/>
    </xf>
    <xf numFmtId="0" fontId="6" fillId="0" borderId="0" xfId="0" applyNumberFormat="1" applyFont="1" applyBorder="1"/>
    <xf numFmtId="0" fontId="6" fillId="0" borderId="0" xfId="0" applyFont="1" applyBorder="1"/>
    <xf numFmtId="0" fontId="6" fillId="0" borderId="0" xfId="0" applyFont="1" applyFill="1" applyBorder="1"/>
    <xf numFmtId="0" fontId="7" fillId="0" borderId="0" xfId="0" applyFont="1"/>
    <xf numFmtId="9" fontId="5" fillId="0" borderId="0" xfId="0" applyNumberFormat="1" applyFont="1" applyAlignment="1">
      <alignment vertical="center"/>
    </xf>
    <xf numFmtId="0" fontId="6" fillId="0" borderId="0" xfId="0" applyFont="1" applyFill="1"/>
    <xf numFmtId="0" fontId="6" fillId="0" borderId="0" xfId="0" applyFont="1" applyFill="1" applyBorder="1" applyAlignment="1">
      <alignment horizontal="center" wrapText="1"/>
    </xf>
    <xf numFmtId="0" fontId="6" fillId="0" borderId="0" xfId="0" applyNumberFormat="1" applyFont="1" applyFill="1" applyBorder="1"/>
    <xf numFmtId="0" fontId="6" fillId="0" borderId="0" xfId="0" applyNumberFormat="1" applyFont="1" applyFill="1" applyBorder="1" applyAlignment="1">
      <alignment horizont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horizontal="center"/>
    </xf>
    <xf numFmtId="0" fontId="0" fillId="0" borderId="0" xfId="0" applyFont="1" applyAlignment="1">
      <alignment vertical="center"/>
    </xf>
    <xf numFmtId="0" fontId="0" fillId="0" borderId="0" xfId="0" applyFont="1"/>
    <xf numFmtId="0" fontId="0" fillId="0" borderId="0" xfId="0" applyFont="1" applyAlignment="1">
      <alignment horizontal="center" vertical="center"/>
    </xf>
    <xf numFmtId="9" fontId="0" fillId="0" borderId="0" xfId="0" applyNumberFormat="1" applyFont="1" applyAlignment="1">
      <alignment vertical="center"/>
    </xf>
    <xf numFmtId="164" fontId="0" fillId="0" borderId="0" xfId="0" applyNumberFormat="1" applyFont="1" applyAlignment="1">
      <alignment vertical="center"/>
    </xf>
    <xf numFmtId="9" fontId="0" fillId="0" borderId="0" xfId="0" applyNumberFormat="1" applyFont="1"/>
    <xf numFmtId="0" fontId="5" fillId="0" borderId="0" xfId="0" applyFont="1" applyAlignment="1">
      <alignment vertical="center" wrapText="1"/>
    </xf>
    <xf numFmtId="0" fontId="0" fillId="2" borderId="0" xfId="0" applyFont="1" applyFill="1" applyAlignment="1">
      <alignment vertical="center"/>
    </xf>
    <xf numFmtId="0" fontId="5" fillId="2" borderId="0" xfId="0" applyFont="1" applyFill="1" applyAlignment="1">
      <alignment vertical="center"/>
    </xf>
    <xf numFmtId="0" fontId="0" fillId="2" borderId="0" xfId="0" applyFont="1" applyFill="1" applyAlignment="1">
      <alignment vertical="center"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wrapText="1"/>
    </xf>
    <xf numFmtId="0" fontId="8" fillId="0" borderId="0" xfId="0" applyFont="1" applyFill="1" applyAlignment="1" applyProtection="1">
      <alignment vertical="center" wrapText="1"/>
    </xf>
    <xf numFmtId="0" fontId="5" fillId="0" borderId="0" xfId="0" applyFont="1" applyAlignment="1">
      <alignment horizontal="right" vertical="center" wrapText="1"/>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8" fillId="2" borderId="0" xfId="0"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ont="1" applyAlignment="1">
      <alignment horizontal="left" vertical="center"/>
    </xf>
    <xf numFmtId="0" fontId="0" fillId="0" borderId="0" xfId="0" applyFont="1" applyAlignment="1">
      <alignment vertical="center" wrapText="1"/>
    </xf>
    <xf numFmtId="0" fontId="8" fillId="2" borderId="0" xfId="0" applyFont="1" applyFill="1" applyBorder="1" applyAlignment="1" applyProtection="1">
      <alignment horizontal="left" vertical="center" wrapText="1"/>
    </xf>
    <xf numFmtId="0" fontId="9" fillId="4" borderId="0" xfId="0" applyFont="1" applyFill="1" applyBorder="1" applyAlignment="1" applyProtection="1">
      <alignment vertical="center"/>
    </xf>
    <xf numFmtId="0" fontId="8" fillId="4" borderId="0" xfId="0" applyFont="1" applyFill="1" applyBorder="1" applyAlignment="1" applyProtection="1">
      <alignment vertical="center"/>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vertical="top"/>
    </xf>
    <xf numFmtId="0" fontId="8" fillId="0" borderId="0" xfId="0" applyFont="1" applyFill="1" applyBorder="1" applyAlignment="1" applyProtection="1">
      <alignment vertical="top" wrapText="1"/>
    </xf>
    <xf numFmtId="0" fontId="11" fillId="0" borderId="5"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3" xfId="0" applyBorder="1" applyAlignment="1">
      <alignment wrapText="1"/>
    </xf>
    <xf numFmtId="0" fontId="0" fillId="0" borderId="5" xfId="0" applyBorder="1" applyAlignment="1">
      <alignment wrapText="1"/>
    </xf>
    <xf numFmtId="0" fontId="11" fillId="0" borderId="3" xfId="0" applyFont="1" applyBorder="1" applyAlignment="1">
      <alignment horizontal="right" vertical="center" wrapText="1"/>
    </xf>
    <xf numFmtId="0" fontId="11" fillId="0" borderId="5" xfId="0" applyFont="1" applyBorder="1" applyAlignment="1">
      <alignment horizontal="right" vertical="center" wrapText="1"/>
    </xf>
    <xf numFmtId="0" fontId="7" fillId="0" borderId="0" xfId="0" applyNumberFormat="1" applyFont="1" applyFill="1" applyBorder="1"/>
    <xf numFmtId="0" fontId="7" fillId="0" borderId="0" xfId="0" applyFont="1" applyFill="1" applyBorder="1"/>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0" fillId="0" borderId="0" xfId="0" applyFont="1" applyFill="1"/>
    <xf numFmtId="0" fontId="5" fillId="0" borderId="0" xfId="0" applyFont="1" applyFill="1"/>
    <xf numFmtId="0" fontId="0" fillId="0" borderId="2" xfId="0" applyFont="1" applyFill="1" applyBorder="1" applyAlignment="1">
      <alignment vertical="top"/>
    </xf>
    <xf numFmtId="0" fontId="5" fillId="0" borderId="0" xfId="0" applyFont="1" applyBorder="1" applyAlignment="1">
      <alignment horizontal="center" vertical="center"/>
    </xf>
    <xf numFmtId="0" fontId="10"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cellXfs>
  <cellStyles count="1">
    <cellStyle name="Normal" xfId="0" builtinId="0"/>
  </cellStyles>
  <dxfs count="6">
    <dxf>
      <fill>
        <patternFill>
          <bgColor rgb="FFFFCCCC"/>
        </patternFill>
      </fill>
    </dxf>
    <dxf>
      <border>
        <right style="thin">
          <color auto="1"/>
        </right>
        <vertical/>
        <horizontal/>
      </border>
    </dxf>
    <dxf>
      <fill>
        <patternFill>
          <bgColor theme="0" tint="-0.24994659260841701"/>
        </patternFill>
      </fill>
    </dxf>
    <dxf>
      <fill>
        <patternFill>
          <bgColor rgb="FFFFCCCC"/>
        </patternFill>
      </fill>
    </dxf>
    <dxf>
      <border>
        <right style="thin">
          <color auto="1"/>
        </right>
        <vertical/>
        <horizontal/>
      </border>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9.xml"/><Relationship Id="rId18" Type="http://schemas.openxmlformats.org/officeDocument/2006/relationships/chartsheet" Target="chartsheets/sheet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hartsheet" Target="chartsheets/sheet17.xml"/><Relationship Id="rId7" Type="http://schemas.openxmlformats.org/officeDocument/2006/relationships/chartsheet" Target="chartsheets/sheet3.xml"/><Relationship Id="rId12" Type="http://schemas.openxmlformats.org/officeDocument/2006/relationships/chartsheet" Target="chartsheets/sheet8.xml"/><Relationship Id="rId17" Type="http://schemas.openxmlformats.org/officeDocument/2006/relationships/chartsheet" Target="chartsheets/sheet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12.xml"/><Relationship Id="rId20" Type="http://schemas.openxmlformats.org/officeDocument/2006/relationships/chartsheet" Target="chartsheets/sheet16.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24" Type="http://schemas.openxmlformats.org/officeDocument/2006/relationships/externalLink" Target="externalLinks/externalLink2.xml"/><Relationship Id="rId5" Type="http://schemas.openxmlformats.org/officeDocument/2006/relationships/chartsheet" Target="chartsheets/sheet1.xml"/><Relationship Id="rId15" Type="http://schemas.openxmlformats.org/officeDocument/2006/relationships/chartsheet" Target="chartsheets/sheet11.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chartsheet" Target="chartsheets/sheet6.xml"/><Relationship Id="rId19" Type="http://schemas.openxmlformats.org/officeDocument/2006/relationships/chartsheet" Target="chartsheets/sheet15.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chartsheet" Target="chartsheets/sheet10.xml"/><Relationship Id="rId22" Type="http://schemas.openxmlformats.org/officeDocument/2006/relationships/chartsheet" Target="chartsheets/sheet18.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Gender</a:t>
            </a:r>
            <a:r>
              <a:rPr lang="en-US" sz="1800" baseline="0"/>
              <a:t> with Age Marker Codes</a:t>
            </a:r>
          </a:p>
          <a:p>
            <a:pPr>
              <a:defRPr sz="1800"/>
            </a:pPr>
            <a:r>
              <a:rPr lang="en-US" sz="1800" baseline="0"/>
              <a:t>Project Design Phase</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'Coding Data'!$A$9:$A$18</c15:sqref>
                  </c15:fullRef>
                </c:ext>
              </c:extLst>
              <c:f>('Coding Data'!$A$9:$A$11,'Coding Data'!$A$17)</c:f>
              <c:strCache>
                <c:ptCount val="4"/>
                <c:pt idx="0">
                  <c:v>4M</c:v>
                </c:pt>
                <c:pt idx="1">
                  <c:v>4T</c:v>
                </c:pt>
                <c:pt idx="2">
                  <c:v>3M</c:v>
                </c:pt>
                <c:pt idx="3">
                  <c:v>3T</c:v>
                </c:pt>
                <c:pt idx="4">
                  <c:v>2M</c:v>
                </c:pt>
                <c:pt idx="5">
                  <c:v>2T</c:v>
                </c:pt>
                <c:pt idx="6">
                  <c:v>1M</c:v>
                </c:pt>
                <c:pt idx="7">
                  <c:v>1T</c:v>
                </c:pt>
                <c:pt idx="8">
                  <c:v>0</c:v>
                </c:pt>
                <c:pt idx="9">
                  <c:v>NA</c:v>
                </c:pt>
              </c:strCache>
            </c:strRef>
          </c:cat>
          <c:val>
            <c:numRef>
              <c:extLst>
                <c:ext xmlns:c15="http://schemas.microsoft.com/office/drawing/2012/chart" uri="{02D57815-91ED-43cb-92C2-25804820EDAC}">
                  <c15:fullRef>
                    <c15:sqref>'Coding Data'!$B$9:$B$18</c15:sqref>
                  </c15:fullRef>
                </c:ext>
              </c:extLst>
              <c:f>('Coding Data'!$B$9:$B$11,'Coding Data'!$B$17)</c:f>
            </c:numRef>
          </c:val>
          <c:extLst>
            <c:ext xmlns:c16="http://schemas.microsoft.com/office/drawing/2014/chart" uri="{C3380CC4-5D6E-409C-BE32-E72D297353CC}">
              <c16:uniqueId val="{00000000-968C-4703-95A3-36CA67C9C7BD}"/>
            </c:ext>
          </c:extLst>
        </c:ser>
        <c:ser>
          <c:idx val="2"/>
          <c:order val="2"/>
          <c:spPr>
            <a:solidFill>
              <a:schemeClr val="accent3"/>
            </a:solidFill>
            <a:ln>
              <a:noFill/>
            </a:ln>
            <a:effectLst/>
          </c:spPr>
          <c:invertIfNegative val="0"/>
          <c:cat>
            <c:strRef>
              <c:extLst>
                <c:ext xmlns:c15="http://schemas.microsoft.com/office/drawing/2012/chart" uri="{02D57815-91ED-43cb-92C2-25804820EDAC}">
                  <c15:fullRef>
                    <c15:sqref>'Coding Data'!$A$9:$A$18</c15:sqref>
                  </c15:fullRef>
                </c:ext>
              </c:extLst>
              <c:f>('Coding Data'!$A$9:$A$11,'Coding Data'!$A$17)</c:f>
              <c:strCache>
                <c:ptCount val="4"/>
                <c:pt idx="0">
                  <c:v>4M</c:v>
                </c:pt>
                <c:pt idx="1">
                  <c:v>4T</c:v>
                </c:pt>
                <c:pt idx="2">
                  <c:v>3M</c:v>
                </c:pt>
                <c:pt idx="3">
                  <c:v>3T</c:v>
                </c:pt>
                <c:pt idx="4">
                  <c:v>2M</c:v>
                </c:pt>
                <c:pt idx="5">
                  <c:v>2T</c:v>
                </c:pt>
                <c:pt idx="6">
                  <c:v>1M</c:v>
                </c:pt>
                <c:pt idx="7">
                  <c:v>1T</c:v>
                </c:pt>
                <c:pt idx="8">
                  <c:v>0</c:v>
                </c:pt>
                <c:pt idx="9">
                  <c:v>NA</c:v>
                </c:pt>
              </c:strCache>
            </c:strRef>
          </c:cat>
          <c:val>
            <c:numRef>
              <c:extLst>
                <c:ext xmlns:c15="http://schemas.microsoft.com/office/drawing/2012/chart" uri="{02D57815-91ED-43cb-92C2-25804820EDAC}">
                  <c15:fullRef>
                    <c15:sqref>'Coding Data'!$D$9:$D$18</c15:sqref>
                  </c15:fullRef>
                </c:ext>
              </c:extLst>
              <c:f>('Coding Data'!$D$9:$D$11,'Coding Data'!$D$17)</c:f>
            </c:numRef>
          </c:val>
          <c:extLst>
            <c:ext xmlns:c16="http://schemas.microsoft.com/office/drawing/2014/chart" uri="{C3380CC4-5D6E-409C-BE32-E72D297353CC}">
              <c16:uniqueId val="{00000002-968C-4703-95A3-36CA67C9C7BD}"/>
            </c:ext>
          </c:extLst>
        </c:ser>
        <c:ser>
          <c:idx val="3"/>
          <c:order val="3"/>
          <c:spPr>
            <a:solidFill>
              <a:schemeClr val="accent4"/>
            </a:solidFill>
            <a:ln>
              <a:noFill/>
            </a:ln>
            <a:effectLst/>
          </c:spPr>
          <c:invertIfNegative val="0"/>
          <c:cat>
            <c:strRef>
              <c:extLst>
                <c:ext xmlns:c15="http://schemas.microsoft.com/office/drawing/2012/chart" uri="{02D57815-91ED-43cb-92C2-25804820EDAC}">
                  <c15:fullRef>
                    <c15:sqref>'Coding Data'!$A$9:$A$18</c15:sqref>
                  </c15:fullRef>
                </c:ext>
              </c:extLst>
              <c:f>('Coding Data'!$A$9:$A$11,'Coding Data'!$A$17)</c:f>
              <c:strCache>
                <c:ptCount val="4"/>
                <c:pt idx="0">
                  <c:v>4M</c:v>
                </c:pt>
                <c:pt idx="1">
                  <c:v>4T</c:v>
                </c:pt>
                <c:pt idx="2">
                  <c:v>3M</c:v>
                </c:pt>
                <c:pt idx="3">
                  <c:v>0</c:v>
                </c:pt>
              </c:strCache>
            </c:strRef>
          </c:cat>
          <c:val>
            <c:numRef>
              <c:extLst>
                <c:ext xmlns:c15="http://schemas.microsoft.com/office/drawing/2012/chart" uri="{02D57815-91ED-43cb-92C2-25804820EDAC}">
                  <c15:fullRef>
                    <c15:sqref>'Coding Data'!$E$9:$E$18</c15:sqref>
                  </c15:fullRef>
                </c:ext>
              </c:extLst>
              <c:f>('Coding Data'!$E$9:$E$11,'Coding Data'!$E$17)</c:f>
              <c:numCache>
                <c:formatCode>0%</c:formatCode>
                <c:ptCount val="4"/>
                <c:pt idx="0">
                  <c:v>0.6470588235294118</c:v>
                </c:pt>
                <c:pt idx="1">
                  <c:v>0.17647058823529413</c:v>
                </c:pt>
                <c:pt idx="2">
                  <c:v>5.8823529411764705E-2</c:v>
                </c:pt>
                <c:pt idx="3">
                  <c:v>5.8823529411764705E-2</c:v>
                </c:pt>
              </c:numCache>
            </c:numRef>
          </c:val>
          <c:extLst>
            <c:ext xmlns:c16="http://schemas.microsoft.com/office/drawing/2014/chart" uri="{C3380CC4-5D6E-409C-BE32-E72D297353CC}">
              <c16:uniqueId val="{00000003-968C-4703-95A3-36CA67C9C7BD}"/>
            </c:ext>
          </c:extLst>
        </c:ser>
        <c:dLbls>
          <c:showLegendKey val="0"/>
          <c:showVal val="0"/>
          <c:showCatName val="0"/>
          <c:showSerName val="0"/>
          <c:showPercent val="0"/>
          <c:showBubbleSize val="0"/>
        </c:dLbls>
        <c:gapWidth val="219"/>
        <c:overlap val="-27"/>
        <c:axId val="402766976"/>
        <c:axId val="402767304"/>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'Coding Data'!$A$9:$A$18</c15:sqref>
                        </c15:fullRef>
                        <c15:formulaRef>
                          <c15:sqref>('Coding Data'!$A$9:$A$11,'Coding Data'!$A$17)</c15:sqref>
                        </c15:formulaRef>
                      </c:ext>
                    </c:extLst>
                    <c:strCache>
                      <c:ptCount val="4"/>
                      <c:pt idx="0">
                        <c:v>4M</c:v>
                      </c:pt>
                      <c:pt idx="1">
                        <c:v>4T</c:v>
                      </c:pt>
                      <c:pt idx="2">
                        <c:v>3M</c:v>
                      </c:pt>
                      <c:pt idx="3">
                        <c:v>0</c:v>
                      </c:pt>
                    </c:strCache>
                  </c:strRef>
                </c:cat>
                <c:val>
                  <c:numRef>
                    <c:extLst>
                      <c:ext uri="{02D57815-91ED-43cb-92C2-25804820EDAC}">
                        <c15:fullRef>
                          <c15:sqref>'Coding Data'!$C$9:$C$18</c15:sqref>
                        </c15:fullRef>
                        <c15:formulaRef>
                          <c15:sqref>('Coding Data'!$C$9:$C$11,'Coding Data'!$C$17)</c15:sqref>
                        </c15:formulaRef>
                      </c:ext>
                    </c:extLst>
                    <c:numCache>
                      <c:formatCode>General</c:formatCode>
                      <c:ptCount val="4"/>
                      <c:pt idx="0">
                        <c:v>11</c:v>
                      </c:pt>
                      <c:pt idx="1">
                        <c:v>3</c:v>
                      </c:pt>
                      <c:pt idx="2">
                        <c:v>1</c:v>
                      </c:pt>
                      <c:pt idx="3">
                        <c:v>1</c:v>
                      </c:pt>
                    </c:numCache>
                  </c:numRef>
                </c:val>
                <c:extLst>
                  <c:ext xmlns:c16="http://schemas.microsoft.com/office/drawing/2014/chart" uri="{C3380CC4-5D6E-409C-BE32-E72D297353CC}">
                    <c16:uniqueId val="{00000001-968C-4703-95A3-36CA67C9C7BD}"/>
                  </c:ext>
                </c:extLst>
              </c15:ser>
            </c15:filteredBarSeries>
          </c:ext>
        </c:extLst>
      </c:barChart>
      <c:catAx>
        <c:axId val="40276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02767304"/>
        <c:crosses val="autoZero"/>
        <c:auto val="1"/>
        <c:lblAlgn val="ctr"/>
        <c:lblOffset val="100"/>
        <c:noMultiLvlLbl val="0"/>
      </c:catAx>
      <c:valAx>
        <c:axId val="402767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600"/>
                  <a:t>% of Projects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2766976"/>
        <c:crosses val="autoZero"/>
        <c:crossBetween val="between"/>
        <c:min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Activities</a:t>
            </a:r>
            <a:r>
              <a:rPr lang="en-US" sz="1800" baseline="0"/>
              <a:t> Tailoring - Gender &amp; Age</a:t>
            </a:r>
            <a:endParaRPr lang="en-US" sz="1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Data'!$C$81:$C$85</c15:sqref>
                  </c15:fullRef>
                </c:ext>
              </c:extLst>
              <c:f>('Design Data'!$C$81,'Design Data'!$C$84:$C$85)</c:f>
              <c:strCache>
                <c:ptCount val="3"/>
                <c:pt idx="0">
                  <c:v>Code 4 - Gender &amp; Age</c:v>
                </c:pt>
                <c:pt idx="1">
                  <c:v>Code 1 - No gender or age </c:v>
                </c:pt>
                <c:pt idx="2">
                  <c:v>Code 0 - No Tailoring</c:v>
                </c:pt>
              </c:strCache>
            </c:strRef>
          </c:cat>
          <c:val>
            <c:numRef>
              <c:extLst>
                <c:ext xmlns:c15="http://schemas.microsoft.com/office/drawing/2012/chart" uri="{02D57815-91ED-43cb-92C2-25804820EDAC}">
                  <c15:fullRef>
                    <c15:sqref>'Design Data'!$E$81:$E$85</c15:sqref>
                  </c15:fullRef>
                </c:ext>
              </c:extLst>
              <c:f>('Design Data'!$E$81,'Design Data'!$E$84:$E$85)</c:f>
              <c:numCache>
                <c:formatCode>0%</c:formatCode>
                <c:ptCount val="3"/>
                <c:pt idx="0">
                  <c:v>0.76470588235294112</c:v>
                </c:pt>
                <c:pt idx="1">
                  <c:v>5.8823529411764705E-2</c:v>
                </c:pt>
                <c:pt idx="2">
                  <c:v>5.8823529411764705E-2</c:v>
                </c:pt>
              </c:numCache>
            </c:numRef>
          </c:val>
          <c:extLst>
            <c:ext xmlns:c16="http://schemas.microsoft.com/office/drawing/2014/chart" uri="{C3380CC4-5D6E-409C-BE32-E72D297353CC}">
              <c16:uniqueId val="{00000002-DE7E-4044-9625-32414955D0FC}"/>
            </c:ext>
          </c:extLst>
        </c:ser>
        <c:dLbls>
          <c:showLegendKey val="0"/>
          <c:showVal val="0"/>
          <c:showCatName val="0"/>
          <c:showSerName val="0"/>
          <c:showPercent val="0"/>
          <c:showBubbleSize val="0"/>
        </c:dLbls>
        <c:gapWidth val="182"/>
        <c:axId val="928885816"/>
        <c:axId val="928886800"/>
      </c:barChart>
      <c:catAx>
        <c:axId val="928885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86800"/>
        <c:crosses val="autoZero"/>
        <c:auto val="1"/>
        <c:lblAlgn val="ctr"/>
        <c:lblOffset val="100"/>
        <c:noMultiLvlLbl val="0"/>
      </c:catAx>
      <c:valAx>
        <c:axId val="9288868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85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How</a:t>
            </a:r>
            <a:r>
              <a:rPr lang="en-US" sz="1800" baseline="0"/>
              <a:t> Affected People Will Participate</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w="19050">
              <a:solidFill>
                <a:schemeClr val="lt1"/>
              </a:solidFill>
            </a:ln>
            <a:effectLst/>
          </c:spPr>
          <c:invertIfNegative val="0"/>
          <c:cat>
            <c:strRef>
              <c:extLst>
                <c:ext xmlns:c15="http://schemas.microsoft.com/office/drawing/2012/chart" uri="{02D57815-91ED-43cb-92C2-25804820EDAC}">
                  <c15:fullRef>
                    <c15:sqref>'Design Data'!$C$89:$C$93</c15:sqref>
                  </c15:fullRef>
                </c:ext>
              </c:extLst>
              <c:f>'Design Data'!$C$89:$C$92</c:f>
              <c:strCache>
                <c:ptCount val="4"/>
                <c:pt idx="0">
                  <c:v>Assessing needs</c:v>
                </c:pt>
                <c:pt idx="1">
                  <c:v>Designing activities</c:v>
                </c:pt>
                <c:pt idx="2">
                  <c:v>Delivering assistance</c:v>
                </c:pt>
                <c:pt idx="3">
                  <c:v>Reviewing, changing</c:v>
                </c:pt>
              </c:strCache>
            </c:strRef>
          </c:cat>
          <c:val>
            <c:numRef>
              <c:extLst>
                <c:ext xmlns:c15="http://schemas.microsoft.com/office/drawing/2012/chart" uri="{02D57815-91ED-43cb-92C2-25804820EDAC}">
                  <c15:fullRef>
                    <c15:sqref>'Design Data'!$E$89:$E$93</c15:sqref>
                  </c15:fullRef>
                </c:ext>
              </c:extLst>
              <c:f>'Design Data'!$E$89:$E$92</c:f>
              <c:numCache>
                <c:formatCode>0%</c:formatCode>
                <c:ptCount val="4"/>
                <c:pt idx="0">
                  <c:v>0.88235294117647056</c:v>
                </c:pt>
                <c:pt idx="1">
                  <c:v>0.58823529411764708</c:v>
                </c:pt>
                <c:pt idx="2">
                  <c:v>0.35294117647058826</c:v>
                </c:pt>
                <c:pt idx="3">
                  <c:v>0.35294117647058826</c:v>
                </c:pt>
              </c:numCache>
            </c:numRef>
          </c:val>
          <c:extLst>
            <c:ext xmlns:c16="http://schemas.microsoft.com/office/drawing/2014/chart" uri="{C3380CC4-5D6E-409C-BE32-E72D297353CC}">
              <c16:uniqueId val="{00000000-8DFB-4CA6-A7A7-E4D5DFF698D3}"/>
            </c:ext>
          </c:extLst>
        </c:ser>
        <c:dLbls>
          <c:showLegendKey val="0"/>
          <c:showVal val="0"/>
          <c:showCatName val="0"/>
          <c:showSerName val="0"/>
          <c:showPercent val="0"/>
          <c:showBubbleSize val="0"/>
        </c:dLbls>
        <c:gapWidth val="150"/>
        <c:axId val="928858272"/>
        <c:axId val="928856304"/>
      </c:barChart>
      <c:valAx>
        <c:axId val="9288563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8858272"/>
        <c:crosses val="autoZero"/>
        <c:crossBetween val="between"/>
      </c:valAx>
      <c:catAx>
        <c:axId val="92885827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5630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Who Participates?  Gender</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Data'!$C$96:$C$101</c15:sqref>
                  </c15:fullRef>
                </c:ext>
              </c:extLst>
              <c:f>'Design Data'!$C$96:$C$100</c:f>
              <c:strCache>
                <c:ptCount val="5"/>
                <c:pt idx="0">
                  <c:v>Women</c:v>
                </c:pt>
                <c:pt idx="1">
                  <c:v>Girls</c:v>
                </c:pt>
                <c:pt idx="2">
                  <c:v>Boys</c:v>
                </c:pt>
                <c:pt idx="3">
                  <c:v>Men</c:v>
                </c:pt>
                <c:pt idx="4">
                  <c:v>Diverse gender</c:v>
                </c:pt>
              </c:strCache>
            </c:strRef>
          </c:cat>
          <c:val>
            <c:numRef>
              <c:extLst>
                <c:ext xmlns:c15="http://schemas.microsoft.com/office/drawing/2012/chart" uri="{02D57815-91ED-43cb-92C2-25804820EDAC}">
                  <c15:fullRef>
                    <c15:sqref>'Design Data'!$E$96:$E$101</c15:sqref>
                  </c15:fullRef>
                </c:ext>
              </c:extLst>
              <c:f>'Design Data'!$E$96:$E$100</c:f>
              <c:numCache>
                <c:formatCode>0%</c:formatCode>
                <c:ptCount val="5"/>
                <c:pt idx="0">
                  <c:v>0.82352941176470584</c:v>
                </c:pt>
                <c:pt idx="1">
                  <c:v>0.58823529411764708</c:v>
                </c:pt>
                <c:pt idx="2">
                  <c:v>0.52941176470588236</c:v>
                </c:pt>
                <c:pt idx="3">
                  <c:v>0.70588235294117652</c:v>
                </c:pt>
                <c:pt idx="4">
                  <c:v>0.58823529411764708</c:v>
                </c:pt>
              </c:numCache>
            </c:numRef>
          </c:val>
          <c:extLst>
            <c:ext xmlns:c16="http://schemas.microsoft.com/office/drawing/2014/chart" uri="{C3380CC4-5D6E-409C-BE32-E72D297353CC}">
              <c16:uniqueId val="{00000000-76EF-446E-B80E-29701D9EEB02}"/>
            </c:ext>
          </c:extLst>
        </c:ser>
        <c:dLbls>
          <c:showLegendKey val="0"/>
          <c:showVal val="0"/>
          <c:showCatName val="0"/>
          <c:showSerName val="0"/>
          <c:showPercent val="0"/>
          <c:showBubbleSize val="0"/>
        </c:dLbls>
        <c:gapWidth val="219"/>
        <c:overlap val="-27"/>
        <c:axId val="790620016"/>
        <c:axId val="790622968"/>
      </c:barChart>
      <c:catAx>
        <c:axId val="79062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0622968"/>
        <c:crosses val="autoZero"/>
        <c:auto val="1"/>
        <c:lblAlgn val="ctr"/>
        <c:lblOffset val="100"/>
        <c:noMultiLvlLbl val="0"/>
      </c:catAx>
      <c:valAx>
        <c:axId val="790622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620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Who Participates?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Data'!$C$105:$C$111</c15:sqref>
                  </c15:fullRef>
                </c:ext>
              </c:extLst>
              <c:f>'Design Data'!$C$105:$C$110</c:f>
              <c:strCache>
                <c:ptCount val="6"/>
                <c:pt idx="0">
                  <c:v>Young children</c:v>
                </c:pt>
                <c:pt idx="1">
                  <c:v>Children</c:v>
                </c:pt>
                <c:pt idx="2">
                  <c:v>Adolescents</c:v>
                </c:pt>
                <c:pt idx="3">
                  <c:v>Young adults</c:v>
                </c:pt>
                <c:pt idx="4">
                  <c:v>Middle-aged adults</c:v>
                </c:pt>
                <c:pt idx="5">
                  <c:v>Older adults</c:v>
                </c:pt>
              </c:strCache>
            </c:strRef>
          </c:cat>
          <c:val>
            <c:numRef>
              <c:extLst>
                <c:ext xmlns:c15="http://schemas.microsoft.com/office/drawing/2012/chart" uri="{02D57815-91ED-43cb-92C2-25804820EDAC}">
                  <c15:fullRef>
                    <c15:sqref>'Design Data'!$E$105:$E$111</c15:sqref>
                  </c15:fullRef>
                </c:ext>
              </c:extLst>
              <c:f>'Design Data'!$E$105:$E$110</c:f>
              <c:numCache>
                <c:formatCode>0%</c:formatCode>
                <c:ptCount val="6"/>
                <c:pt idx="0">
                  <c:v>0.23529411764705882</c:v>
                </c:pt>
                <c:pt idx="1">
                  <c:v>0.41176470588235292</c:v>
                </c:pt>
                <c:pt idx="2">
                  <c:v>0.70588235294117652</c:v>
                </c:pt>
                <c:pt idx="3">
                  <c:v>0.76470588235294112</c:v>
                </c:pt>
                <c:pt idx="4">
                  <c:v>0.70588235294117652</c:v>
                </c:pt>
                <c:pt idx="5">
                  <c:v>0.35294117647058826</c:v>
                </c:pt>
              </c:numCache>
            </c:numRef>
          </c:val>
          <c:extLst>
            <c:ext xmlns:c16="http://schemas.microsoft.com/office/drawing/2014/chart" uri="{C3380CC4-5D6E-409C-BE32-E72D297353CC}">
              <c16:uniqueId val="{00000000-7C65-4E48-A921-7FF51D0AD85D}"/>
            </c:ext>
          </c:extLst>
        </c:ser>
        <c:dLbls>
          <c:showLegendKey val="0"/>
          <c:showVal val="0"/>
          <c:showCatName val="0"/>
          <c:showSerName val="0"/>
          <c:showPercent val="0"/>
          <c:showBubbleSize val="0"/>
        </c:dLbls>
        <c:gapWidth val="182"/>
        <c:axId val="917519936"/>
        <c:axId val="917521576"/>
      </c:barChart>
      <c:catAx>
        <c:axId val="917519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17521576"/>
        <c:crosses val="autoZero"/>
        <c:auto val="1"/>
        <c:lblAlgn val="ctr"/>
        <c:lblOffset val="100"/>
        <c:noMultiLvlLbl val="0"/>
      </c:catAx>
      <c:valAx>
        <c:axId val="917521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519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Participation - Gender &amp;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Data'!$C$115:$C$119</c15:sqref>
                  </c15:fullRef>
                </c:ext>
              </c:extLst>
              <c:f>('Design Data'!$C$115:$C$116,'Design Data'!$C$118:$C$119)</c:f>
              <c:strCache>
                <c:ptCount val="4"/>
                <c:pt idx="0">
                  <c:v>Code 4 - Gender &amp; Age</c:v>
                </c:pt>
                <c:pt idx="1">
                  <c:v>Code 3 -Gender Only</c:v>
                </c:pt>
                <c:pt idx="2">
                  <c:v>Code 1 - No gender or age </c:v>
                </c:pt>
                <c:pt idx="3">
                  <c:v>Code 0 - No Participation</c:v>
                </c:pt>
              </c:strCache>
            </c:strRef>
          </c:cat>
          <c:val>
            <c:numRef>
              <c:extLst>
                <c:ext xmlns:c15="http://schemas.microsoft.com/office/drawing/2012/chart" uri="{02D57815-91ED-43cb-92C2-25804820EDAC}">
                  <c15:fullRef>
                    <c15:sqref>'Design Data'!$E$115:$E$119</c15:sqref>
                  </c15:fullRef>
                </c:ext>
              </c:extLst>
              <c:f>('Design Data'!$E$115:$E$116,'Design Data'!$E$118:$E$119)</c:f>
              <c:numCache>
                <c:formatCode>0%</c:formatCode>
                <c:ptCount val="4"/>
                <c:pt idx="0">
                  <c:v>0.82352941176470584</c:v>
                </c:pt>
                <c:pt idx="1">
                  <c:v>5.8823529411764705E-2</c:v>
                </c:pt>
                <c:pt idx="2">
                  <c:v>5.8823529411764705E-2</c:v>
                </c:pt>
                <c:pt idx="3">
                  <c:v>5.8823529411764705E-2</c:v>
                </c:pt>
              </c:numCache>
            </c:numRef>
          </c:val>
          <c:extLst>
            <c:ext xmlns:c16="http://schemas.microsoft.com/office/drawing/2014/chart" uri="{C3380CC4-5D6E-409C-BE32-E72D297353CC}">
              <c16:uniqueId val="{00000000-EF8C-437E-A67B-A18AE44203D0}"/>
            </c:ext>
          </c:extLst>
        </c:ser>
        <c:dLbls>
          <c:showLegendKey val="0"/>
          <c:showVal val="0"/>
          <c:showCatName val="0"/>
          <c:showSerName val="0"/>
          <c:showPercent val="0"/>
          <c:showBubbleSize val="0"/>
        </c:dLbls>
        <c:gapWidth val="182"/>
        <c:axId val="782702248"/>
        <c:axId val="782704544"/>
      </c:barChart>
      <c:catAx>
        <c:axId val="782702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2704544"/>
        <c:crosses val="autoZero"/>
        <c:auto val="1"/>
        <c:lblAlgn val="ctr"/>
        <c:lblOffset val="100"/>
        <c:noMultiLvlLbl val="0"/>
      </c:catAx>
      <c:valAx>
        <c:axId val="7827045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702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a:noFill/>
              </a:ln>
              <a:effectLst/>
            </c:spPr>
            <c:extLst>
              <c:ext xmlns:c16="http://schemas.microsoft.com/office/drawing/2014/chart" uri="{C3380CC4-5D6E-409C-BE32-E72D297353CC}">
                <c16:uniqueId val="{00000002-EF39-4496-A486-16B9D9E9CD7B}"/>
              </c:ext>
            </c:extLst>
          </c:dPt>
          <c:dPt>
            <c:idx val="1"/>
            <c:bubble3D val="0"/>
            <c:spPr>
              <a:solidFill>
                <a:schemeClr val="accent2"/>
              </a:solidFill>
              <a:ln>
                <a:noFill/>
              </a:ln>
              <a:effectLst/>
            </c:spPr>
            <c:extLst>
              <c:ext xmlns:c16="http://schemas.microsoft.com/office/drawing/2014/chart" uri="{C3380CC4-5D6E-409C-BE32-E72D297353CC}">
                <c16:uniqueId val="{00000003-B019-47E5-A91E-64AA1EDA0ED9}"/>
              </c:ext>
            </c:extLst>
          </c:dPt>
          <c:dPt>
            <c:idx val="2"/>
            <c:bubble3D val="0"/>
            <c:spPr>
              <a:solidFill>
                <a:schemeClr val="accent3"/>
              </a:solidFill>
              <a:ln>
                <a:noFill/>
              </a:ln>
              <a:effectLst/>
            </c:spPr>
            <c:extLst>
              <c:ext xmlns:c16="http://schemas.microsoft.com/office/drawing/2014/chart" uri="{C3380CC4-5D6E-409C-BE32-E72D297353CC}">
                <c16:uniqueId val="{00000001-EF39-4496-A486-16B9D9E9CD7B}"/>
              </c:ext>
            </c:extLst>
          </c:dPt>
          <c:dPt>
            <c:idx val="3"/>
            <c:bubble3D val="0"/>
            <c:spPr>
              <a:solidFill>
                <a:schemeClr val="accent4"/>
              </a:solidFill>
              <a:ln>
                <a:noFill/>
              </a:ln>
              <a:effectLst/>
            </c:spPr>
            <c:extLst>
              <c:ext xmlns:c16="http://schemas.microsoft.com/office/drawing/2014/chart" uri="{C3380CC4-5D6E-409C-BE32-E72D297353CC}">
                <c16:uniqueId val="{00000007-C1E8-4E8F-85C5-A6D2C9089B9B}"/>
              </c:ext>
            </c:extLst>
          </c:dPt>
          <c:dLbls>
            <c:dLbl>
              <c:idx val="0"/>
              <c:layout>
                <c:manualLayout>
                  <c:x val="-0.19506421791189263"/>
                  <c:y val="0.1860099721344583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F39-4496-A486-16B9D9E9CD7B}"/>
                </c:ext>
              </c:extLst>
            </c:dLbl>
            <c:dLbl>
              <c:idx val="1"/>
              <c:layout>
                <c:manualLayout>
                  <c:x val="-7.1704162579342798E-2"/>
                  <c:y val="-0.2015389356237912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019-47E5-A91E-64AA1EDA0ED9}"/>
                </c:ext>
              </c:extLst>
            </c:dLbl>
            <c:dLbl>
              <c:idx val="3"/>
              <c:layout>
                <c:manualLayout>
                  <c:x val="-0.13980463809881624"/>
                  <c:y val="7.429325678887535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1E8-4E8F-85C5-A6D2C9089B9B}"/>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Data'!$C$123:$C$126</c:f>
              <c:strCache>
                <c:ptCount val="4"/>
                <c:pt idx="0">
                  <c:v>Indicators measure needs met</c:v>
                </c:pt>
                <c:pt idx="1">
                  <c:v>Indicators measure activities delivered</c:v>
                </c:pt>
                <c:pt idx="2">
                  <c:v>Indicators measure BOTH needs met &amp; activities delivered</c:v>
                </c:pt>
                <c:pt idx="3">
                  <c:v>Indicators unrelated to benefits</c:v>
                </c:pt>
              </c:strCache>
            </c:strRef>
          </c:cat>
          <c:val>
            <c:numRef>
              <c:f>'Design Data'!$D$123:$D$126</c:f>
              <c:numCache>
                <c:formatCode>General</c:formatCode>
                <c:ptCount val="4"/>
                <c:pt idx="0">
                  <c:v>5</c:v>
                </c:pt>
                <c:pt idx="1">
                  <c:v>5</c:v>
                </c:pt>
                <c:pt idx="2">
                  <c:v>5</c:v>
                </c:pt>
                <c:pt idx="3">
                  <c:v>1</c:v>
                </c:pt>
              </c:numCache>
            </c:numRef>
          </c:val>
          <c:extLst>
            <c:ext xmlns:c16="http://schemas.microsoft.com/office/drawing/2014/chart" uri="{C3380CC4-5D6E-409C-BE32-E72D297353CC}">
              <c16:uniqueId val="{00000000-EF39-4496-A486-16B9D9E9CD7B}"/>
            </c:ext>
          </c:extLst>
        </c:ser>
        <c:dLbls>
          <c:dLblPos val="bestFit"/>
          <c:showLegendKey val="0"/>
          <c:showVal val="1"/>
          <c:showCatName val="0"/>
          <c:showSerName val="0"/>
          <c:showPercent val="0"/>
          <c:showBubbleSize val="0"/>
          <c:showLeaderLines val="1"/>
        </c:dLbls>
        <c:firstSliceAng val="0"/>
        <c:extLst>
          <c:ext xmlns:c15="http://schemas.microsoft.com/office/drawing/2012/chart" uri="{02D57815-91ED-43cb-92C2-25804820EDAC}">
            <c15:filteredPieSeries>
              <c15:ser>
                <c:idx val="0"/>
                <c:order val="1"/>
                <c:dPt>
                  <c:idx val="0"/>
                  <c:bubble3D val="0"/>
                  <c:spPr>
                    <a:solidFill>
                      <a:schemeClr val="accent1"/>
                    </a:solidFill>
                    <a:ln>
                      <a:noFill/>
                    </a:ln>
                    <a:effectLst/>
                  </c:spPr>
                  <c:extLst>
                    <c:ext xmlns:c16="http://schemas.microsoft.com/office/drawing/2014/chart" uri="{C3380CC4-5D6E-409C-BE32-E72D297353CC}">
                      <c16:uniqueId val="{00000009-C1E8-4E8F-85C5-A6D2C9089B9B}"/>
                    </c:ext>
                  </c:extLst>
                </c:dPt>
                <c:dPt>
                  <c:idx val="1"/>
                  <c:bubble3D val="0"/>
                  <c:spPr>
                    <a:solidFill>
                      <a:schemeClr val="accent2"/>
                    </a:solidFill>
                    <a:ln>
                      <a:noFill/>
                    </a:ln>
                    <a:effectLst/>
                  </c:spPr>
                  <c:extLst>
                    <c:ext xmlns:c16="http://schemas.microsoft.com/office/drawing/2014/chart" uri="{C3380CC4-5D6E-409C-BE32-E72D297353CC}">
                      <c16:uniqueId val="{0000000B-C1E8-4E8F-85C5-A6D2C9089B9B}"/>
                    </c:ext>
                  </c:extLst>
                </c:dPt>
                <c:dPt>
                  <c:idx val="2"/>
                  <c:bubble3D val="0"/>
                  <c:spPr>
                    <a:solidFill>
                      <a:schemeClr val="accent3"/>
                    </a:solidFill>
                    <a:ln>
                      <a:noFill/>
                    </a:ln>
                    <a:effectLst/>
                  </c:spPr>
                  <c:extLst>
                    <c:ext xmlns:c16="http://schemas.microsoft.com/office/drawing/2014/chart" uri="{C3380CC4-5D6E-409C-BE32-E72D297353CC}">
                      <c16:uniqueId val="{0000000D-C1E8-4E8F-85C5-A6D2C9089B9B}"/>
                    </c:ext>
                  </c:extLst>
                </c:dPt>
                <c:dPt>
                  <c:idx val="3"/>
                  <c:bubble3D val="0"/>
                  <c:spPr>
                    <a:solidFill>
                      <a:schemeClr val="accent4"/>
                    </a:solidFill>
                    <a:ln>
                      <a:noFill/>
                    </a:ln>
                    <a:effectLst/>
                  </c:spPr>
                  <c:extLst>
                    <c:ext xmlns:c16="http://schemas.microsoft.com/office/drawing/2014/chart" uri="{C3380CC4-5D6E-409C-BE32-E72D297353CC}">
                      <c16:uniqueId val="{0000000F-C1E8-4E8F-85C5-A6D2C9089B9B}"/>
                    </c:ext>
                  </c:extLst>
                </c:dPt>
                <c:dLbls>
                  <c:dLbl>
                    <c:idx val="0"/>
                    <c:layout>
                      <c:manualLayout>
                        <c:x val="-0.15476658920541594"/>
                        <c:y val="0.13054357164678404"/>
                      </c:manualLayout>
                    </c:layout>
                    <c:dLblPos val="bestFit"/>
                    <c:showLegendKey val="0"/>
                    <c:showVal val="1"/>
                    <c:showCatName val="1"/>
                    <c:showSerName val="0"/>
                    <c:showPercent val="0"/>
                    <c:showBubbleSize val="0"/>
                    <c:extLst>
                      <c:ext uri="{CE6537A1-D6FC-4f65-9D91-7224C49458BB}"/>
                      <c:ext xmlns:c16="http://schemas.microsoft.com/office/drawing/2014/chart" uri="{C3380CC4-5D6E-409C-BE32-E72D297353CC}">
                        <c16:uniqueId val="{00000009-C1E8-4E8F-85C5-A6D2C9089B9B}"/>
                      </c:ext>
                    </c:extLst>
                  </c:dLbl>
                  <c:dLbl>
                    <c:idx val="1"/>
                    <c:layout>
                      <c:manualLayout>
                        <c:x val="-0.16579236274461384"/>
                        <c:y val="-0.25825923009972668"/>
                      </c:manualLayout>
                    </c:layout>
                    <c:dLblPos val="bestFit"/>
                    <c:showLegendKey val="0"/>
                    <c:showVal val="1"/>
                    <c:showCatName val="1"/>
                    <c:showSerName val="0"/>
                    <c:showPercent val="0"/>
                    <c:showBubbleSize val="0"/>
                    <c:extLst>
                      <c:ext uri="{CE6537A1-D6FC-4f65-9D91-7224C49458BB}"/>
                      <c:ext xmlns:c16="http://schemas.microsoft.com/office/drawing/2014/chart" uri="{C3380CC4-5D6E-409C-BE32-E72D297353CC}">
                        <c16:uniqueId val="{0000000B-C1E8-4E8F-85C5-A6D2C9089B9B}"/>
                      </c:ext>
                    </c:extLst>
                  </c:dLbl>
                  <c:dLbl>
                    <c:idx val="2"/>
                    <c:layout>
                      <c:manualLayout>
                        <c:x val="0.20596353715250978"/>
                        <c:y val="-5.4772074678527134E-4"/>
                      </c:manualLayout>
                    </c:layout>
                    <c:dLblPos val="bestFit"/>
                    <c:showLegendKey val="0"/>
                    <c:showVal val="1"/>
                    <c:showCatName val="1"/>
                    <c:showSerName val="0"/>
                    <c:showPercent val="0"/>
                    <c:showBubbleSize val="0"/>
                    <c:extLst>
                      <c:ext uri="{CE6537A1-D6FC-4f65-9D91-7224C49458BB}"/>
                      <c:ext xmlns:c16="http://schemas.microsoft.com/office/drawing/2014/chart" uri="{C3380CC4-5D6E-409C-BE32-E72D297353CC}">
                        <c16:uniqueId val="{0000000D-C1E8-4E8F-85C5-A6D2C9089B9B}"/>
                      </c:ext>
                    </c:extLst>
                  </c:dLbl>
                  <c:dLbl>
                    <c:idx val="3"/>
                    <c:delete val="1"/>
                    <c:extLst>
                      <c:ext uri="{CE6537A1-D6FC-4f65-9D91-7224C49458BB}"/>
                      <c:ext xmlns:c16="http://schemas.microsoft.com/office/drawing/2014/chart" uri="{C3380CC4-5D6E-409C-BE32-E72D297353CC}">
                        <c16:uniqueId val="{0000000F-C1E8-4E8F-85C5-A6D2C9089B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'Design Data'!$C$123:$C$126</c15:sqref>
                        </c15:formulaRef>
                      </c:ext>
                    </c:extLst>
                    <c:strCache>
                      <c:ptCount val="4"/>
                      <c:pt idx="0">
                        <c:v>Indicators measure needs met</c:v>
                      </c:pt>
                      <c:pt idx="1">
                        <c:v>Indicators measure activities delivered</c:v>
                      </c:pt>
                      <c:pt idx="2">
                        <c:v>Indicators measure BOTH needs met &amp; activities delivered</c:v>
                      </c:pt>
                      <c:pt idx="3">
                        <c:v>Indicators unrelated to benefits</c:v>
                      </c:pt>
                    </c:strCache>
                  </c:strRef>
                </c:cat>
                <c:val>
                  <c:numRef>
                    <c:extLst>
                      <c:ext uri="{02D57815-91ED-43cb-92C2-25804820EDAC}">
                        <c15:formulaRef>
                          <c15:sqref>'Design Data'!$E$123:$E$126</c15:sqref>
                        </c15:formulaRef>
                      </c:ext>
                    </c:extLst>
                    <c:numCache>
                      <c:formatCode>0%</c:formatCode>
                      <c:ptCount val="4"/>
                      <c:pt idx="0">
                        <c:v>0.29411764705882354</c:v>
                      </c:pt>
                      <c:pt idx="1">
                        <c:v>0.29411764705882354</c:v>
                      </c:pt>
                      <c:pt idx="2">
                        <c:v>0.29411764705882354</c:v>
                      </c:pt>
                      <c:pt idx="3">
                        <c:v>5.8823529411764705E-2</c:v>
                      </c:pt>
                    </c:numCache>
                  </c:numRef>
                </c:val>
                <c:extLst>
                  <c:ext xmlns:c16="http://schemas.microsoft.com/office/drawing/2014/chart" uri="{C3380CC4-5D6E-409C-BE32-E72D297353CC}">
                    <c16:uniqueId val="{0000000A-328C-4928-AE96-81BC7DA74BFB}"/>
                  </c:ext>
                </c:extLst>
              </c15:ser>
            </c15:filteredPieSeries>
          </c:ext>
        </c:extLst>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a:t>
            </a:r>
            <a:r>
              <a:rPr lang="en-US" sz="1800" baseline="0"/>
              <a:t> disaggregation - Gender</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Data'!$C$131:$C$138</c15:sqref>
                  </c15:fullRef>
                </c:ext>
              </c:extLst>
              <c:f>'Design Data'!$C$131:$C$135</c:f>
              <c:strCache>
                <c:ptCount val="5"/>
                <c:pt idx="0">
                  <c:v>Women</c:v>
                </c:pt>
                <c:pt idx="1">
                  <c:v>Girls</c:v>
                </c:pt>
                <c:pt idx="2">
                  <c:v>Boys</c:v>
                </c:pt>
                <c:pt idx="3">
                  <c:v>Men</c:v>
                </c:pt>
                <c:pt idx="4">
                  <c:v>Diverse gender</c:v>
                </c:pt>
              </c:strCache>
            </c:strRef>
          </c:cat>
          <c:val>
            <c:numRef>
              <c:extLst>
                <c:ext xmlns:c15="http://schemas.microsoft.com/office/drawing/2012/chart" uri="{02D57815-91ED-43cb-92C2-25804820EDAC}">
                  <c15:fullRef>
                    <c15:sqref>'Design Data'!$E$131:$E$138</c15:sqref>
                  </c15:fullRef>
                </c:ext>
              </c:extLst>
              <c:f>'Design Data'!$E$131:$E$135</c:f>
              <c:numCache>
                <c:formatCode>0%</c:formatCode>
                <c:ptCount val="5"/>
                <c:pt idx="0">
                  <c:v>0.88235294117647056</c:v>
                </c:pt>
                <c:pt idx="1">
                  <c:v>0.88235294117647056</c:v>
                </c:pt>
                <c:pt idx="2">
                  <c:v>0.76470588235294112</c:v>
                </c:pt>
                <c:pt idx="3">
                  <c:v>0.76470588235294112</c:v>
                </c:pt>
                <c:pt idx="4">
                  <c:v>0.41176470588235292</c:v>
                </c:pt>
              </c:numCache>
            </c:numRef>
          </c:val>
          <c:extLst>
            <c:ext xmlns:c16="http://schemas.microsoft.com/office/drawing/2014/chart" uri="{C3380CC4-5D6E-409C-BE32-E72D297353CC}">
              <c16:uniqueId val="{00000000-F885-47C3-908E-62651FFD587C}"/>
            </c:ext>
          </c:extLst>
        </c:ser>
        <c:dLbls>
          <c:showLegendKey val="0"/>
          <c:showVal val="0"/>
          <c:showCatName val="0"/>
          <c:showSerName val="0"/>
          <c:showPercent val="0"/>
          <c:showBubbleSize val="0"/>
        </c:dLbls>
        <c:gapWidth val="182"/>
        <c:axId val="967604768"/>
        <c:axId val="967602472"/>
      </c:barChart>
      <c:catAx>
        <c:axId val="967604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67602472"/>
        <c:crosses val="autoZero"/>
        <c:auto val="1"/>
        <c:lblAlgn val="ctr"/>
        <c:lblOffset val="100"/>
        <c:noMultiLvlLbl val="0"/>
      </c:catAx>
      <c:valAx>
        <c:axId val="967602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7604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 Disaggregation -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Data'!$C$142:$C$150</c15:sqref>
                  </c15:fullRef>
                </c:ext>
              </c:extLst>
              <c:f>'Design Data'!$C$142:$C$147</c:f>
              <c:strCache>
                <c:ptCount val="6"/>
                <c:pt idx="0">
                  <c:v>Young children</c:v>
                </c:pt>
                <c:pt idx="1">
                  <c:v>Children</c:v>
                </c:pt>
                <c:pt idx="2">
                  <c:v>Adolescents</c:v>
                </c:pt>
                <c:pt idx="3">
                  <c:v>Young adults</c:v>
                </c:pt>
                <c:pt idx="4">
                  <c:v>Middle-aged adults</c:v>
                </c:pt>
                <c:pt idx="5">
                  <c:v>Older adults</c:v>
                </c:pt>
              </c:strCache>
            </c:strRef>
          </c:cat>
          <c:val>
            <c:numRef>
              <c:extLst>
                <c:ext xmlns:c15="http://schemas.microsoft.com/office/drawing/2012/chart" uri="{02D57815-91ED-43cb-92C2-25804820EDAC}">
                  <c15:fullRef>
                    <c15:sqref>'Design Data'!$E$142:$E$150</c15:sqref>
                  </c15:fullRef>
                </c:ext>
              </c:extLst>
              <c:f>'Design Data'!$E$142:$E$147</c:f>
              <c:numCache>
                <c:formatCode>0%</c:formatCode>
                <c:ptCount val="6"/>
                <c:pt idx="0">
                  <c:v>0.47058823529411764</c:v>
                </c:pt>
                <c:pt idx="1">
                  <c:v>0.70588235294117652</c:v>
                </c:pt>
                <c:pt idx="2">
                  <c:v>0.70588235294117652</c:v>
                </c:pt>
                <c:pt idx="3">
                  <c:v>0.76470588235294112</c:v>
                </c:pt>
                <c:pt idx="4">
                  <c:v>0.70588235294117652</c:v>
                </c:pt>
                <c:pt idx="5">
                  <c:v>0.35294117647058826</c:v>
                </c:pt>
              </c:numCache>
            </c:numRef>
          </c:val>
          <c:extLst>
            <c:ext xmlns:c16="http://schemas.microsoft.com/office/drawing/2014/chart" uri="{C3380CC4-5D6E-409C-BE32-E72D297353CC}">
              <c16:uniqueId val="{00000000-03DD-4D61-9457-4DBCA2646A1A}"/>
            </c:ext>
          </c:extLst>
        </c:ser>
        <c:dLbls>
          <c:showLegendKey val="0"/>
          <c:showVal val="0"/>
          <c:showCatName val="0"/>
          <c:showSerName val="0"/>
          <c:showPercent val="0"/>
          <c:showBubbleSize val="0"/>
        </c:dLbls>
        <c:gapWidth val="182"/>
        <c:axId val="782716680"/>
        <c:axId val="782717008"/>
      </c:barChart>
      <c:catAx>
        <c:axId val="782716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2717008"/>
        <c:crosses val="autoZero"/>
        <c:auto val="1"/>
        <c:lblAlgn val="ctr"/>
        <c:lblOffset val="100"/>
        <c:noMultiLvlLbl val="0"/>
      </c:catAx>
      <c:valAx>
        <c:axId val="7827170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716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Indicators - Gender &amp;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Data'!$C$154:$C$158</c15:sqref>
                  </c15:fullRef>
                </c:ext>
              </c:extLst>
              <c:f>('Design Data'!$C$154,'Design Data'!$C$156,'Design Data'!$C$158)</c:f>
              <c:strCache>
                <c:ptCount val="3"/>
                <c:pt idx="0">
                  <c:v>Code 4 - Gender &amp; Age</c:v>
                </c:pt>
                <c:pt idx="1">
                  <c:v>Code 2 - Age Only</c:v>
                </c:pt>
                <c:pt idx="2">
                  <c:v>Code 0 - No Benefit Indicators</c:v>
                </c:pt>
              </c:strCache>
            </c:strRef>
          </c:cat>
          <c:val>
            <c:numRef>
              <c:extLst>
                <c:ext xmlns:c15="http://schemas.microsoft.com/office/drawing/2012/chart" uri="{02D57815-91ED-43cb-92C2-25804820EDAC}">
                  <c15:fullRef>
                    <c15:sqref>'Design Data'!$E$154:$E$158</c15:sqref>
                  </c15:fullRef>
                </c:ext>
              </c:extLst>
              <c:f>('Design Data'!$E$154,'Design Data'!$E$156,'Design Data'!$E$158)</c:f>
              <c:numCache>
                <c:formatCode>0%</c:formatCode>
                <c:ptCount val="3"/>
                <c:pt idx="0">
                  <c:v>0.82352941176470584</c:v>
                </c:pt>
                <c:pt idx="1">
                  <c:v>5.8823529411764705E-2</c:v>
                </c:pt>
                <c:pt idx="2">
                  <c:v>0.11764705882352941</c:v>
                </c:pt>
              </c:numCache>
            </c:numRef>
          </c:val>
          <c:extLst>
            <c:ext xmlns:c16="http://schemas.microsoft.com/office/drawing/2014/chart" uri="{C3380CC4-5D6E-409C-BE32-E72D297353CC}">
              <c16:uniqueId val="{00000000-F9FB-4248-BF77-D6B587C78A95}"/>
            </c:ext>
          </c:extLst>
        </c:ser>
        <c:dLbls>
          <c:showLegendKey val="0"/>
          <c:showVal val="0"/>
          <c:showCatName val="0"/>
          <c:showSerName val="0"/>
          <c:showPercent val="0"/>
          <c:showBubbleSize val="0"/>
        </c:dLbls>
        <c:gapWidth val="182"/>
        <c:axId val="967700528"/>
        <c:axId val="967693312"/>
      </c:barChart>
      <c:catAx>
        <c:axId val="967700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67693312"/>
        <c:crosses val="autoZero"/>
        <c:auto val="1"/>
        <c:lblAlgn val="ctr"/>
        <c:lblOffset val="100"/>
        <c:noMultiLvlLbl val="0"/>
      </c:catAx>
      <c:valAx>
        <c:axId val="967693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7700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Gender &amp; Age in Key Project Elements (Codes)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'Coding Data'!$A$2</c:f>
              <c:strCache>
                <c:ptCount val="1"/>
                <c:pt idx="0">
                  <c:v>Code 4 - Gender &amp; Age Addressed</c:v>
                </c:pt>
              </c:strCache>
            </c:strRef>
          </c:tx>
          <c:spPr>
            <a:solidFill>
              <a:schemeClr val="accent1"/>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Data'!$B$2:$J$2</c:f>
              <c:numCache>
                <c:formatCode>0%</c:formatCode>
                <c:ptCount val="4"/>
                <c:pt idx="0">
                  <c:v>0.82352941176470584</c:v>
                </c:pt>
                <c:pt idx="1">
                  <c:v>0.76470588235294112</c:v>
                </c:pt>
                <c:pt idx="2">
                  <c:v>0.82352941176470584</c:v>
                </c:pt>
                <c:pt idx="3">
                  <c:v>0.82352941176470584</c:v>
                </c:pt>
              </c:numCache>
            </c:numRef>
          </c:val>
          <c:extLst>
            <c:ext xmlns:c16="http://schemas.microsoft.com/office/drawing/2014/chart" uri="{C3380CC4-5D6E-409C-BE32-E72D297353CC}">
              <c16:uniqueId val="{00000000-3535-44BD-A47B-84EE75123D51}"/>
            </c:ext>
          </c:extLst>
        </c:ser>
        <c:ser>
          <c:idx val="1"/>
          <c:order val="1"/>
          <c:tx>
            <c:strRef>
              <c:f>'Coding Data'!$A$3</c:f>
              <c:strCache>
                <c:ptCount val="1"/>
                <c:pt idx="0">
                  <c:v>Code 3 - Gender (only) Addressed</c:v>
                </c:pt>
              </c:strCache>
            </c:strRef>
          </c:tx>
          <c:spPr>
            <a:solidFill>
              <a:schemeClr val="accent2"/>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Data'!$B$3:$J$3</c:f>
              <c:numCache>
                <c:formatCode>0%</c:formatCode>
                <c:ptCount val="4"/>
                <c:pt idx="0">
                  <c:v>0</c:v>
                </c:pt>
                <c:pt idx="1">
                  <c:v>0</c:v>
                </c:pt>
                <c:pt idx="2">
                  <c:v>5.8823529411764705E-2</c:v>
                </c:pt>
                <c:pt idx="3">
                  <c:v>0</c:v>
                </c:pt>
              </c:numCache>
            </c:numRef>
          </c:val>
          <c:extLst>
            <c:ext xmlns:c16="http://schemas.microsoft.com/office/drawing/2014/chart" uri="{C3380CC4-5D6E-409C-BE32-E72D297353CC}">
              <c16:uniqueId val="{00000001-3535-44BD-A47B-84EE75123D51}"/>
            </c:ext>
          </c:extLst>
        </c:ser>
        <c:ser>
          <c:idx val="2"/>
          <c:order val="2"/>
          <c:tx>
            <c:strRef>
              <c:f>'Coding Data'!$A$4</c:f>
              <c:strCache>
                <c:ptCount val="1"/>
                <c:pt idx="0">
                  <c:v>Code 2 - Age (only) Addressed</c:v>
                </c:pt>
              </c:strCache>
            </c:strRef>
          </c:tx>
          <c:spPr>
            <a:solidFill>
              <a:schemeClr val="accent3"/>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Data'!$B$4:$J$4</c:f>
              <c:numCache>
                <c:formatCode>0%</c:formatCode>
                <c:ptCount val="4"/>
                <c:pt idx="0">
                  <c:v>0</c:v>
                </c:pt>
                <c:pt idx="1">
                  <c:v>0.11764705882352941</c:v>
                </c:pt>
                <c:pt idx="2">
                  <c:v>0</c:v>
                </c:pt>
                <c:pt idx="3">
                  <c:v>5.8823529411764705E-2</c:v>
                </c:pt>
              </c:numCache>
            </c:numRef>
          </c:val>
          <c:extLst>
            <c:ext xmlns:c16="http://schemas.microsoft.com/office/drawing/2014/chart" uri="{C3380CC4-5D6E-409C-BE32-E72D297353CC}">
              <c16:uniqueId val="{00000002-3535-44BD-A47B-84EE75123D51}"/>
            </c:ext>
          </c:extLst>
        </c:ser>
        <c:ser>
          <c:idx val="3"/>
          <c:order val="3"/>
          <c:tx>
            <c:strRef>
              <c:f>'Coding Data'!$A$5</c:f>
              <c:strCache>
                <c:ptCount val="1"/>
                <c:pt idx="0">
                  <c:v>Code 1 - Neither gender/age</c:v>
                </c:pt>
              </c:strCache>
            </c:strRef>
          </c:tx>
          <c:spPr>
            <a:solidFill>
              <a:schemeClr val="accent4"/>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Data'!$B$5:$J$5</c:f>
              <c:numCache>
                <c:formatCode>0%</c:formatCode>
                <c:ptCount val="4"/>
                <c:pt idx="0">
                  <c:v>0</c:v>
                </c:pt>
                <c:pt idx="1">
                  <c:v>5.8823529411764705E-2</c:v>
                </c:pt>
                <c:pt idx="2">
                  <c:v>5.8823529411764705E-2</c:v>
                </c:pt>
                <c:pt idx="3">
                  <c:v>0</c:v>
                </c:pt>
              </c:numCache>
            </c:numRef>
          </c:val>
          <c:extLst>
            <c:ext xmlns:c16="http://schemas.microsoft.com/office/drawing/2014/chart" uri="{C3380CC4-5D6E-409C-BE32-E72D297353CC}">
              <c16:uniqueId val="{00000003-3535-44BD-A47B-84EE75123D51}"/>
            </c:ext>
          </c:extLst>
        </c:ser>
        <c:ser>
          <c:idx val="4"/>
          <c:order val="4"/>
          <c:tx>
            <c:strRef>
              <c:f>'Coding Data'!$A$6</c:f>
              <c:strCache>
                <c:ptCount val="1"/>
                <c:pt idx="0">
                  <c:v>0 - Element not present</c:v>
                </c:pt>
              </c:strCache>
            </c:strRef>
          </c:tx>
          <c:spPr>
            <a:solidFill>
              <a:schemeClr val="accent5"/>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Data'!$B$6:$J$6</c:f>
              <c:numCache>
                <c:formatCode>0%</c:formatCode>
                <c:ptCount val="4"/>
                <c:pt idx="0">
                  <c:v>0.17647058823529413</c:v>
                </c:pt>
                <c:pt idx="1">
                  <c:v>5.8823529411764705E-2</c:v>
                </c:pt>
                <c:pt idx="2">
                  <c:v>5.8823529411764705E-2</c:v>
                </c:pt>
                <c:pt idx="3">
                  <c:v>0.11764705882352941</c:v>
                </c:pt>
              </c:numCache>
            </c:numRef>
          </c:val>
          <c:extLst>
            <c:ext xmlns:c16="http://schemas.microsoft.com/office/drawing/2014/chart" uri="{C3380CC4-5D6E-409C-BE32-E72D297353CC}">
              <c16:uniqueId val="{00000004-3535-44BD-A47B-84EE75123D51}"/>
            </c:ext>
          </c:extLst>
        </c:ser>
        <c:dLbls>
          <c:showLegendKey val="0"/>
          <c:showVal val="0"/>
          <c:showCatName val="0"/>
          <c:showSerName val="0"/>
          <c:showPercent val="0"/>
          <c:showBubbleSize val="0"/>
        </c:dLbls>
        <c:gapWidth val="219"/>
        <c:overlap val="-27"/>
        <c:axId val="788372080"/>
        <c:axId val="788371752"/>
      </c:barChart>
      <c:catAx>
        <c:axId val="78837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88371752"/>
        <c:crosses val="autoZero"/>
        <c:auto val="1"/>
        <c:lblAlgn val="ctr"/>
        <c:lblOffset val="100"/>
        <c:noMultiLvlLbl val="0"/>
      </c:catAx>
      <c:valAx>
        <c:axId val="788371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a:t>
                </a:r>
                <a:r>
                  <a:rPr lang="en-US" sz="1200" baseline="0"/>
                  <a:t> of Proposals</a:t>
                </a:r>
                <a:endParaRPr 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37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Project Focus (33)</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A-60C8-4B1E-8AFA-528F8C03F6B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60C8-4B1E-8AFA-528F8C03F6B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9-60C8-4B1E-8AFA-528F8C03F6BA}"/>
              </c:ext>
            </c:extLst>
          </c:dPt>
          <c:dLbls>
            <c:dLbl>
              <c:idx val="0"/>
              <c:layout>
                <c:manualLayout>
                  <c:x val="-0.1660411198393327"/>
                  <c:y val="-0.36553733334692684"/>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0C8-4B1E-8AFA-528F8C03F6BA}"/>
                </c:ext>
              </c:extLst>
            </c:dLbl>
            <c:dLbl>
              <c:idx val="1"/>
              <c:layout>
                <c:manualLayout>
                  <c:x val="0.16361870878107621"/>
                  <c:y val="0.2093659035351713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3732331369411824"/>
                      <c:h val="0.16940723320133402"/>
                    </c:manualLayout>
                  </c15:layout>
                </c:ext>
                <c:ext xmlns:c16="http://schemas.microsoft.com/office/drawing/2014/chart" uri="{C3380CC4-5D6E-409C-BE32-E72D297353CC}">
                  <c16:uniqueId val="{00000008-60C8-4B1E-8AFA-528F8C03F6BA}"/>
                </c:ext>
              </c:extLst>
            </c:dLbl>
            <c:dLbl>
              <c:idx val="2"/>
              <c:delete val="1"/>
              <c:extLst>
                <c:ext xmlns:c15="http://schemas.microsoft.com/office/drawing/2012/chart" uri="{CE6537A1-D6FC-4f65-9D91-7224C49458BB}"/>
                <c:ext xmlns:c16="http://schemas.microsoft.com/office/drawing/2014/chart" uri="{C3380CC4-5D6E-409C-BE32-E72D297353CC}">
                  <c16:uniqueId val="{00000009-60C8-4B1E-8AFA-528F8C03F6BA}"/>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Data'!$C$170:$C$172</c:f>
              <c:strCache>
                <c:ptCount val="3"/>
                <c:pt idx="0">
                  <c:v>Gender mainstreamed</c:v>
                </c:pt>
                <c:pt idx="1">
                  <c:v>Targeted (project purpose is to increase equality)</c:v>
                </c:pt>
                <c:pt idx="2">
                  <c:v>Gender Not Applicable</c:v>
                </c:pt>
              </c:strCache>
            </c:strRef>
          </c:cat>
          <c:val>
            <c:numRef>
              <c:f>'Design Data'!$E$170:$E$172</c:f>
              <c:numCache>
                <c:formatCode>0%</c:formatCode>
                <c:ptCount val="3"/>
                <c:pt idx="0">
                  <c:v>0.82352941176470584</c:v>
                </c:pt>
                <c:pt idx="1">
                  <c:v>0.17647058823529413</c:v>
                </c:pt>
                <c:pt idx="2">
                  <c:v>0</c:v>
                </c:pt>
              </c:numCache>
            </c:numRef>
          </c:val>
          <c:extLst>
            <c:ext xmlns:c16="http://schemas.microsoft.com/office/drawing/2014/chart" uri="{C3380CC4-5D6E-409C-BE32-E72D297353CC}">
              <c16:uniqueId val="{00000007-60C8-4B1E-8AFA-528F8C03F6BA}"/>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What</a:t>
            </a:r>
            <a:r>
              <a:rPr lang="en-US" sz="1800" baseline="0"/>
              <a:t> does the analysis consider? </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8-7E98-4E3C-A466-B2C0B94BFD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7E98-4E3C-A466-B2C0B94BFD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7E98-4E3C-A466-B2C0B94BFDF5}"/>
              </c:ext>
            </c:extLst>
          </c:dPt>
          <c:dLbls>
            <c:dLbl>
              <c:idx val="0"/>
              <c:layout>
                <c:manualLayout>
                  <c:x val="-0.13956498694492289"/>
                  <c:y val="0.18347813132158566"/>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98-4E3C-A466-B2C0B94BFDF5}"/>
                </c:ext>
              </c:extLst>
            </c:dLbl>
            <c:dLbl>
              <c:idx val="1"/>
              <c:layout>
                <c:manualLayout>
                  <c:x val="1.9967777129155373E-2"/>
                  <c:y val="-0.34382388372574096"/>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98-4E3C-A466-B2C0B94BFDF5}"/>
                </c:ext>
              </c:extLst>
            </c:dLbl>
            <c:dLbl>
              <c:idx val="2"/>
              <c:layout>
                <c:manualLayout>
                  <c:x val="0.13733607001338607"/>
                  <c:y val="0.15823125341001812"/>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948731229459765"/>
                      <c:h val="8.8105737044879728E-2"/>
                    </c:manualLayout>
                  </c15:layout>
                </c:ext>
                <c:ext xmlns:c16="http://schemas.microsoft.com/office/drawing/2014/chart" uri="{C3380CC4-5D6E-409C-BE32-E72D297353CC}">
                  <c16:uniqueId val="{0000000C-7E98-4E3C-A466-B2C0B94BFDF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Data'!$C$24:$C$26</c:f>
              <c:strCache>
                <c:ptCount val="3"/>
                <c:pt idx="0">
                  <c:v>Needs, roles and dynamics</c:v>
                </c:pt>
                <c:pt idx="1">
                  <c:v>Needs</c:v>
                </c:pt>
                <c:pt idx="2">
                  <c:v>No needs analysis yet</c:v>
                </c:pt>
              </c:strCache>
            </c:strRef>
          </c:cat>
          <c:val>
            <c:numRef>
              <c:f>'Design Data'!$E$24:$E$26</c:f>
              <c:numCache>
                <c:formatCode>0%</c:formatCode>
                <c:ptCount val="3"/>
                <c:pt idx="0">
                  <c:v>0.23529411764705882</c:v>
                </c:pt>
                <c:pt idx="1">
                  <c:v>0.58823529411764708</c:v>
                </c:pt>
                <c:pt idx="2">
                  <c:v>0.17647058823529413</c:v>
                </c:pt>
              </c:numCache>
            </c:numRef>
          </c:val>
          <c:extLst>
            <c:ext xmlns:c16="http://schemas.microsoft.com/office/drawing/2014/chart" uri="{C3380CC4-5D6E-409C-BE32-E72D297353CC}">
              <c16:uniqueId val="{0000000D-7E98-4E3C-A466-B2C0B94BFDF5}"/>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Groups</a:t>
            </a:r>
            <a:r>
              <a:rPr lang="en-US" sz="1800" baseline="0"/>
              <a:t> discussed in the Analysis - Gender</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2"/>
            </a:solidFill>
            <a:ln>
              <a:noFill/>
            </a:ln>
            <a:effectLst/>
          </c:spPr>
          <c:invertIfNegative val="0"/>
          <c:cat>
            <c:strRef>
              <c:f>'Design Data'!$C$29:$C$33</c:f>
              <c:strCache>
                <c:ptCount val="5"/>
                <c:pt idx="0">
                  <c:v>Women</c:v>
                </c:pt>
                <c:pt idx="1">
                  <c:v>Girls</c:v>
                </c:pt>
                <c:pt idx="2">
                  <c:v>Boys</c:v>
                </c:pt>
                <c:pt idx="3">
                  <c:v>Men</c:v>
                </c:pt>
                <c:pt idx="4">
                  <c:v>Diverse gender</c:v>
                </c:pt>
              </c:strCache>
            </c:strRef>
          </c:cat>
          <c:val>
            <c:numRef>
              <c:f>'Design Data'!$E$29:$E$33</c:f>
              <c:numCache>
                <c:formatCode>0%</c:formatCode>
                <c:ptCount val="5"/>
                <c:pt idx="0">
                  <c:v>0.76470588235294112</c:v>
                </c:pt>
                <c:pt idx="1">
                  <c:v>0.76470588235294112</c:v>
                </c:pt>
                <c:pt idx="2">
                  <c:v>0.6470588235294118</c:v>
                </c:pt>
                <c:pt idx="3">
                  <c:v>0.6470588235294118</c:v>
                </c:pt>
                <c:pt idx="4">
                  <c:v>0.52941176470588236</c:v>
                </c:pt>
              </c:numCache>
            </c:numRef>
          </c:val>
          <c:extLst>
            <c:ext xmlns:c16="http://schemas.microsoft.com/office/drawing/2014/chart" uri="{C3380CC4-5D6E-409C-BE32-E72D297353CC}">
              <c16:uniqueId val="{00000000-E8B8-4837-BB77-70B5B1CA2854}"/>
            </c:ext>
          </c:extLst>
        </c:ser>
        <c:dLbls>
          <c:showLegendKey val="0"/>
          <c:showVal val="0"/>
          <c:showCatName val="0"/>
          <c:showSerName val="0"/>
          <c:showPercent val="0"/>
          <c:showBubbleSize val="0"/>
        </c:dLbls>
        <c:gapWidth val="219"/>
        <c:overlap val="-27"/>
        <c:axId val="919440936"/>
        <c:axId val="919443560"/>
      </c:barChart>
      <c:catAx>
        <c:axId val="919440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19443560"/>
        <c:crosses val="autoZero"/>
        <c:auto val="1"/>
        <c:lblAlgn val="ctr"/>
        <c:lblOffset val="100"/>
        <c:noMultiLvlLbl val="0"/>
      </c:catAx>
      <c:valAx>
        <c:axId val="919443560"/>
        <c:scaling>
          <c:orientation val="minMax"/>
          <c:max val="0.8"/>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a:p>
                <a:pPr>
                  <a:defRPr sz="1400"/>
                </a:pP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440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Groups discussed in the Analysis -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Data'!$C$37:$C$43</c15:sqref>
                  </c15:fullRef>
                </c:ext>
              </c:extLst>
              <c:f>'Design Data'!$C$37:$C$42</c:f>
              <c:strCache>
                <c:ptCount val="6"/>
                <c:pt idx="0">
                  <c:v>Young children</c:v>
                </c:pt>
                <c:pt idx="1">
                  <c:v>Children</c:v>
                </c:pt>
                <c:pt idx="2">
                  <c:v>Adolescents</c:v>
                </c:pt>
                <c:pt idx="3">
                  <c:v>Young adults</c:v>
                </c:pt>
                <c:pt idx="4">
                  <c:v>Middle-aged adults</c:v>
                </c:pt>
                <c:pt idx="5">
                  <c:v>Older adults</c:v>
                </c:pt>
              </c:strCache>
            </c:strRef>
          </c:cat>
          <c:val>
            <c:numRef>
              <c:extLst>
                <c:ext xmlns:c15="http://schemas.microsoft.com/office/drawing/2012/chart" uri="{02D57815-91ED-43cb-92C2-25804820EDAC}">
                  <c15:fullRef>
                    <c15:sqref>'Design Data'!$E$37:$E$43</c15:sqref>
                  </c15:fullRef>
                </c:ext>
              </c:extLst>
              <c:f>'Design Data'!$E$37:$E$42</c:f>
              <c:numCache>
                <c:formatCode>0%</c:formatCode>
                <c:ptCount val="6"/>
                <c:pt idx="0">
                  <c:v>0.47058823529411764</c:v>
                </c:pt>
                <c:pt idx="1">
                  <c:v>0.58823529411764708</c:v>
                </c:pt>
                <c:pt idx="2">
                  <c:v>0.6470588235294118</c:v>
                </c:pt>
                <c:pt idx="3">
                  <c:v>0.70588235294117652</c:v>
                </c:pt>
                <c:pt idx="4">
                  <c:v>0.58823529411764708</c:v>
                </c:pt>
                <c:pt idx="5">
                  <c:v>0.41176470588235292</c:v>
                </c:pt>
              </c:numCache>
            </c:numRef>
          </c:val>
          <c:extLst>
            <c:ext xmlns:c16="http://schemas.microsoft.com/office/drawing/2014/chart" uri="{C3380CC4-5D6E-409C-BE32-E72D297353CC}">
              <c16:uniqueId val="{00000000-46C4-4EDB-9860-C7F0C9D36534}"/>
            </c:ext>
          </c:extLst>
        </c:ser>
        <c:dLbls>
          <c:showLegendKey val="0"/>
          <c:showVal val="0"/>
          <c:showCatName val="0"/>
          <c:showSerName val="0"/>
          <c:showPercent val="0"/>
          <c:showBubbleSize val="0"/>
        </c:dLbls>
        <c:gapWidth val="182"/>
        <c:axId val="790625264"/>
        <c:axId val="790619032"/>
      </c:barChart>
      <c:catAx>
        <c:axId val="790625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0619032"/>
        <c:crosses val="autoZero"/>
        <c:auto val="1"/>
        <c:lblAlgn val="ctr"/>
        <c:lblOffset val="100"/>
        <c:noMultiLvlLbl val="0"/>
      </c:catAx>
      <c:valAx>
        <c:axId val="7906190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a:t>
                </a:r>
                <a:r>
                  <a:rPr lang="en-US" sz="1400" baseline="0"/>
                  <a:t> Proposals</a:t>
                </a:r>
                <a:endParaRPr lang="en-US" sz="1400"/>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625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Analysis Content - Gender &amp;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Data'!$C$47:$C$51</c15:sqref>
                  </c15:fullRef>
                </c:ext>
              </c:extLst>
              <c:f>('Design Data'!$C$47,'Design Data'!$C$51)</c:f>
              <c:strCache>
                <c:ptCount val="2"/>
                <c:pt idx="0">
                  <c:v>Code 4 - Gender &amp; Age</c:v>
                </c:pt>
                <c:pt idx="1">
                  <c:v>Code 0 - No Analysis</c:v>
                </c:pt>
              </c:strCache>
            </c:strRef>
          </c:cat>
          <c:val>
            <c:numRef>
              <c:extLst>
                <c:ext xmlns:c15="http://schemas.microsoft.com/office/drawing/2012/chart" uri="{02D57815-91ED-43cb-92C2-25804820EDAC}">
                  <c15:fullRef>
                    <c15:sqref>'Design Data'!$E$47:$E$51</c15:sqref>
                  </c15:fullRef>
                </c:ext>
              </c:extLst>
              <c:f>('Design Data'!$E$47,'Design Data'!$E$51)</c:f>
              <c:numCache>
                <c:formatCode>0%</c:formatCode>
                <c:ptCount val="2"/>
                <c:pt idx="0">
                  <c:v>0.82352941176470584</c:v>
                </c:pt>
                <c:pt idx="1">
                  <c:v>0.17647058823529413</c:v>
                </c:pt>
              </c:numCache>
            </c:numRef>
          </c:val>
          <c:extLst>
            <c:ext xmlns:c16="http://schemas.microsoft.com/office/drawing/2014/chart" uri="{C3380CC4-5D6E-409C-BE32-E72D297353CC}">
              <c16:uniqueId val="{00000000-B989-496E-8C76-011A31B6CDBD}"/>
            </c:ext>
          </c:extLst>
        </c:ser>
        <c:dLbls>
          <c:showLegendKey val="0"/>
          <c:showVal val="0"/>
          <c:showCatName val="0"/>
          <c:showSerName val="0"/>
          <c:showPercent val="0"/>
          <c:showBubbleSize val="0"/>
        </c:dLbls>
        <c:gapWidth val="182"/>
        <c:axId val="387011560"/>
        <c:axId val="387011888"/>
      </c:barChart>
      <c:catAx>
        <c:axId val="387011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87011888"/>
        <c:crosses val="autoZero"/>
        <c:auto val="1"/>
        <c:lblAlgn val="ctr"/>
        <c:lblOffset val="100"/>
        <c:noMultiLvlLbl val="0"/>
      </c:catAx>
      <c:valAx>
        <c:axId val="387011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11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How</a:t>
            </a:r>
            <a:r>
              <a:rPr lang="en-US" sz="2000" baseline="0"/>
              <a:t> Activities are Tailored</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2-C018-47EC-8F94-0EFA609D96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018-47EC-8F94-0EFA609D96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C018-47EC-8F94-0EFA609D96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8-C018-47EC-8F94-0EFA609D9611}"/>
              </c:ext>
            </c:extLst>
          </c:dPt>
          <c:dLbls>
            <c:dLbl>
              <c:idx val="0"/>
              <c:layout>
                <c:manualLayout>
                  <c:x val="-0.20145102863003794"/>
                  <c:y val="0.11267966006209809"/>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38048833894337"/>
                      <c:h val="7.5935163287610311E-2"/>
                    </c:manualLayout>
                  </c15:layout>
                </c:ext>
                <c:ext xmlns:c16="http://schemas.microsoft.com/office/drawing/2014/chart" uri="{C3380CC4-5D6E-409C-BE32-E72D297353CC}">
                  <c16:uniqueId val="{00000002-C018-47EC-8F94-0EFA609D9611}"/>
                </c:ext>
              </c:extLst>
            </c:dLbl>
            <c:dLbl>
              <c:idx val="1"/>
              <c:layout>
                <c:manualLayout>
                  <c:x val="0.10546466961670425"/>
                  <c:y val="-0.2831466915383535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18-47EC-8F94-0EFA609D9611}"/>
                </c:ext>
              </c:extLst>
            </c:dLbl>
            <c:dLbl>
              <c:idx val="2"/>
              <c:layout>
                <c:manualLayout>
                  <c:x val="-8.6493626474510255E-2"/>
                  <c:y val="4.3784539444956534E-2"/>
                </c:manualLayout>
              </c:layout>
              <c:showLegendKey val="0"/>
              <c:showVal val="1"/>
              <c:showCatName val="1"/>
              <c:showSerName val="0"/>
              <c:showPercent val="0"/>
              <c:showBubbleSize val="0"/>
              <c:extLst>
                <c:ext xmlns:c15="http://schemas.microsoft.com/office/drawing/2012/chart" uri="{CE6537A1-D6FC-4f65-9D91-7224C49458BB}">
                  <c15:layout>
                    <c:manualLayout>
                      <c:w val="0.23515757322799721"/>
                      <c:h val="8.8017933075906774E-2"/>
                    </c:manualLayout>
                  </c15:layout>
                </c:ext>
                <c:ext xmlns:c16="http://schemas.microsoft.com/office/drawing/2014/chart" uri="{C3380CC4-5D6E-409C-BE32-E72D297353CC}">
                  <c16:uniqueId val="{00000006-C018-47EC-8F94-0EFA609D9611}"/>
                </c:ext>
              </c:extLst>
            </c:dLbl>
            <c:dLbl>
              <c:idx val="3"/>
              <c:layout>
                <c:manualLayout>
                  <c:x val="0.14666731218442344"/>
                  <c:y val="0.18902114762093786"/>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1944157627268733"/>
                      <c:h val="0.13249369465246674"/>
                    </c:manualLayout>
                  </c15:layout>
                </c:ext>
                <c:ext xmlns:c16="http://schemas.microsoft.com/office/drawing/2014/chart" uri="{C3380CC4-5D6E-409C-BE32-E72D297353CC}">
                  <c16:uniqueId val="{00000008-C018-47EC-8F94-0EFA609D9611}"/>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Data'!$C$55:$C$58</c:f>
              <c:strCache>
                <c:ptCount val="4"/>
                <c:pt idx="0">
                  <c:v>Needs</c:v>
                </c:pt>
                <c:pt idx="1">
                  <c:v>Different needs, roles and dynamics</c:v>
                </c:pt>
                <c:pt idx="2">
                  <c:v>Activities do not address needs</c:v>
                </c:pt>
                <c:pt idx="3">
                  <c:v>Social gendered barriers &amp; discrimination</c:v>
                </c:pt>
              </c:strCache>
            </c:strRef>
          </c:cat>
          <c:val>
            <c:numRef>
              <c:f>'Design Data'!$E$55:$E$58</c:f>
              <c:numCache>
                <c:formatCode>0%</c:formatCode>
                <c:ptCount val="4"/>
                <c:pt idx="0">
                  <c:v>0.35294117647058826</c:v>
                </c:pt>
                <c:pt idx="1">
                  <c:v>0.41176470588235292</c:v>
                </c:pt>
                <c:pt idx="2">
                  <c:v>5.8823529411764705E-2</c:v>
                </c:pt>
                <c:pt idx="3">
                  <c:v>0.17647058823529413</c:v>
                </c:pt>
              </c:numCache>
            </c:numRef>
          </c:val>
          <c:extLst>
            <c:ext xmlns:c16="http://schemas.microsoft.com/office/drawing/2014/chart" uri="{C3380CC4-5D6E-409C-BE32-E72D297353CC}">
              <c16:uniqueId val="{00000009-C018-47EC-8F94-0EFA609D9611}"/>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A-CAFB-4E38-A001-99CA9DB405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9-CAFB-4E38-A001-99CA9DB405E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CAFB-4E38-A001-99CA9DB405E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7F-4C76-9EC1-41FAC8607DD5}"/>
                    </c:ext>
                  </c:extLst>
                </c:dPt>
                <c:dLbls>
                  <c:dLbl>
                    <c:idx val="0"/>
                    <c:layout>
                      <c:manualLayout>
                        <c:x val="-0.14772707963056131"/>
                        <c:y val="2.4353188278959111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A-CAFB-4E38-A001-99CA9DB405E2}"/>
                      </c:ext>
                    </c:extLst>
                  </c:dLbl>
                  <c:dLbl>
                    <c:idx val="1"/>
                    <c:layout>
                      <c:manualLayout>
                        <c:x val="0.18575610326886427"/>
                        <c:y val="-4.8083060821694751E-2"/>
                      </c:manualLayout>
                    </c:layout>
                    <c:showLegendKey val="0"/>
                    <c:showVal val="1"/>
                    <c:showCatName val="0"/>
                    <c:showSerName val="0"/>
                    <c:showPercent val="0"/>
                    <c:showBubbleSize val="0"/>
                    <c:extLst>
                      <c:ext uri="{CE6537A1-D6FC-4f65-9D91-7224C49458BB}">
                        <c15:layout>
                          <c:manualLayout>
                            <c:w val="7.5121953527849547E-2"/>
                            <c:h val="6.7556110786908485E-2"/>
                          </c:manualLayout>
                        </c15:layout>
                      </c:ext>
                      <c:ext xmlns:c16="http://schemas.microsoft.com/office/drawing/2014/chart" uri="{C3380CC4-5D6E-409C-BE32-E72D297353CC}">
                        <c16:uniqueId val="{00000009-CAFB-4E38-A001-99CA9DB405E2}"/>
                      </c:ext>
                    </c:extLst>
                  </c:dLbl>
                  <c:dLbl>
                    <c:idx val="2"/>
                    <c:layout>
                      <c:manualLayout>
                        <c:x val="-5.0536586918735145E-2"/>
                        <c:y val="1.1238486637555507E-2"/>
                      </c:manualLayout>
                    </c:layout>
                    <c:showLegendKey val="0"/>
                    <c:showVal val="1"/>
                    <c:showCatName val="0"/>
                    <c:showSerName val="0"/>
                    <c:showPercent val="0"/>
                    <c:showBubbleSize val="0"/>
                    <c:extLst>
                      <c:ext uri="{CE6537A1-D6FC-4f65-9D91-7224C49458BB}">
                        <c15:layout>
                          <c:manualLayout>
                            <c:w val="5.5658538295633976E-2"/>
                            <c:h val="6.7556110786908485E-2"/>
                          </c:manualLayout>
                        </c15:layout>
                      </c:ext>
                      <c:ext xmlns:c16="http://schemas.microsoft.com/office/drawing/2014/chart" uri="{C3380CC4-5D6E-409C-BE32-E72D297353CC}">
                        <c16:uniqueId val="{00000008-CAFB-4E38-A001-99CA9DB405E2}"/>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'Design Data'!$C$55:$C$58</c15:sqref>
                        </c15:formulaRef>
                      </c:ext>
                    </c:extLst>
                    <c:strCache>
                      <c:ptCount val="4"/>
                      <c:pt idx="0">
                        <c:v>Needs</c:v>
                      </c:pt>
                      <c:pt idx="1">
                        <c:v>Different needs, roles and dynamics</c:v>
                      </c:pt>
                      <c:pt idx="2">
                        <c:v>Activities do not address needs</c:v>
                      </c:pt>
                      <c:pt idx="3">
                        <c:v>Social gendered barriers &amp; discrimination</c:v>
                      </c:pt>
                    </c:strCache>
                  </c:strRef>
                </c:cat>
                <c:val>
                  <c:numRef>
                    <c:extLst>
                      <c:ext uri="{02D57815-91ED-43cb-92C2-25804820EDAC}">
                        <c15:formulaRef>
                          <c15:sqref>'Design Data'!$D$55:$D$58</c15:sqref>
                        </c15:formulaRef>
                      </c:ext>
                    </c:extLst>
                    <c:numCache>
                      <c:formatCode>General</c:formatCode>
                      <c:ptCount val="4"/>
                      <c:pt idx="0">
                        <c:v>6</c:v>
                      </c:pt>
                      <c:pt idx="1">
                        <c:v>7</c:v>
                      </c:pt>
                      <c:pt idx="2">
                        <c:v>1</c:v>
                      </c:pt>
                      <c:pt idx="3">
                        <c:v>3</c:v>
                      </c:pt>
                    </c:numCache>
                  </c:numRef>
                </c:val>
                <c:extLst>
                  <c:ext xmlns:c16="http://schemas.microsoft.com/office/drawing/2014/chart" uri="{C3380CC4-5D6E-409C-BE32-E72D297353CC}">
                    <c16:uniqueId val="{00000000-C018-47EC-8F94-0EFA609D9611}"/>
                  </c:ext>
                </c:extLst>
              </c15:ser>
            </c15:filteredPieSeries>
          </c:ext>
        </c:extLst>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Activities Tailoring - Gender</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spPr>
            <a:solidFill>
              <a:schemeClr val="accent2"/>
            </a:solidFill>
            <a:ln>
              <a:noFill/>
            </a:ln>
            <a:effectLst/>
          </c:spPr>
          <c:invertIfNegative val="0"/>
          <c:cat>
            <c:strRef>
              <c:f>'Design Data'!$C$61:$C$65</c:f>
              <c:strCache>
                <c:ptCount val="5"/>
                <c:pt idx="0">
                  <c:v>Women</c:v>
                </c:pt>
                <c:pt idx="1">
                  <c:v>Girls</c:v>
                </c:pt>
                <c:pt idx="2">
                  <c:v>Boys</c:v>
                </c:pt>
                <c:pt idx="3">
                  <c:v>Men</c:v>
                </c:pt>
                <c:pt idx="4">
                  <c:v>Diverse gender</c:v>
                </c:pt>
              </c:strCache>
            </c:strRef>
          </c:cat>
          <c:val>
            <c:numRef>
              <c:f>'Design Data'!$E$61:$E$65</c:f>
              <c:numCache>
                <c:formatCode>0%</c:formatCode>
                <c:ptCount val="5"/>
                <c:pt idx="0">
                  <c:v>0.70588235294117652</c:v>
                </c:pt>
                <c:pt idx="1">
                  <c:v>0.76470588235294112</c:v>
                </c:pt>
                <c:pt idx="2">
                  <c:v>0.6470588235294118</c:v>
                </c:pt>
                <c:pt idx="3">
                  <c:v>0.58823529411764708</c:v>
                </c:pt>
                <c:pt idx="4">
                  <c:v>0.52941176470588236</c:v>
                </c:pt>
              </c:numCache>
            </c:numRef>
          </c:val>
          <c:extLst>
            <c:ext xmlns:c16="http://schemas.microsoft.com/office/drawing/2014/chart" uri="{C3380CC4-5D6E-409C-BE32-E72D297353CC}">
              <c16:uniqueId val="{00000001-8368-42FF-A500-F9EBFD1B49CC}"/>
            </c:ext>
          </c:extLst>
        </c:ser>
        <c:dLbls>
          <c:showLegendKey val="0"/>
          <c:showVal val="0"/>
          <c:showCatName val="0"/>
          <c:showSerName val="0"/>
          <c:showPercent val="0"/>
          <c:showBubbleSize val="0"/>
        </c:dLbls>
        <c:gapWidth val="219"/>
        <c:overlap val="-27"/>
        <c:axId val="928895000"/>
        <c:axId val="928892704"/>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'Design Data'!$C$61:$C$65</c15:sqref>
                        </c15:formulaRef>
                      </c:ext>
                    </c:extLst>
                    <c:strCache>
                      <c:ptCount val="5"/>
                      <c:pt idx="0">
                        <c:v>Women</c:v>
                      </c:pt>
                      <c:pt idx="1">
                        <c:v>Girls</c:v>
                      </c:pt>
                      <c:pt idx="2">
                        <c:v>Boys</c:v>
                      </c:pt>
                      <c:pt idx="3">
                        <c:v>Men</c:v>
                      </c:pt>
                      <c:pt idx="4">
                        <c:v>Diverse gender</c:v>
                      </c:pt>
                    </c:strCache>
                  </c:strRef>
                </c:cat>
                <c:val>
                  <c:numRef>
                    <c:extLst>
                      <c:ext uri="{02D57815-91ED-43cb-92C2-25804820EDAC}">
                        <c15:formulaRef>
                          <c15:sqref>'Design Data'!$D$61:$D$65</c15:sqref>
                        </c15:formulaRef>
                      </c:ext>
                    </c:extLst>
                    <c:numCache>
                      <c:formatCode>General</c:formatCode>
                      <c:ptCount val="5"/>
                      <c:pt idx="0">
                        <c:v>12</c:v>
                      </c:pt>
                      <c:pt idx="1">
                        <c:v>13</c:v>
                      </c:pt>
                      <c:pt idx="2">
                        <c:v>11</c:v>
                      </c:pt>
                      <c:pt idx="3">
                        <c:v>10</c:v>
                      </c:pt>
                      <c:pt idx="4">
                        <c:v>9</c:v>
                      </c:pt>
                    </c:numCache>
                  </c:numRef>
                </c:val>
                <c:extLst>
                  <c:ext xmlns:c16="http://schemas.microsoft.com/office/drawing/2014/chart" uri="{C3380CC4-5D6E-409C-BE32-E72D297353CC}">
                    <c16:uniqueId val="{00000000-8368-42FF-A500-F9EBFD1B49CC}"/>
                  </c:ext>
                </c:extLst>
              </c15:ser>
            </c15:filteredBarSeries>
          </c:ext>
        </c:extLst>
      </c:barChart>
      <c:catAx>
        <c:axId val="928895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92704"/>
        <c:crosses val="autoZero"/>
        <c:auto val="1"/>
        <c:lblAlgn val="ctr"/>
        <c:lblOffset val="100"/>
        <c:noMultiLvlLbl val="0"/>
      </c:catAx>
      <c:valAx>
        <c:axId val="928892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 of Proposals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95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9826561-4DB5-4700-BD30-211A77394D85}">
  <sheetPr/>
  <sheetViews>
    <sheetView zoomScale="65"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5FDC579-B52C-4E1C-8805-98376CEA7A18}">
  <sheetPr/>
  <sheetViews>
    <sheetView zoomScale="65"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3AE9B46-1A36-4FB6-94B2-BEF836BE6DBA}">
  <sheetPr/>
  <sheetViews>
    <sheetView zoomScale="65"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AEE84B8-8D3A-4180-A1DA-DFAC6EB8A20A}">
  <sheetPr/>
  <sheetViews>
    <sheetView zoomScale="65"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B8A0B49-FA8B-41CE-B911-DF636D393D82}">
  <sheetPr/>
  <sheetViews>
    <sheetView zoomScale="65"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1EA636D-89CA-4881-A979-9FA2907122DE}">
  <sheetPr/>
  <sheetViews>
    <sheetView zoomScale="65" workbookViewId="0" zoomToFit="1"/>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9265B62-330E-4C16-9A30-FB9ECF90625C}">
  <sheetPr/>
  <sheetViews>
    <sheetView zoomScale="65" workbookViewId="0" zoomToFit="1"/>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4C049EB-1844-49B9-AEC9-F88838CCC483}">
  <sheetPr/>
  <sheetViews>
    <sheetView zoomScale="65" workbookViewId="0" zoomToFit="1"/>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05C4CA1-AD63-49A8-AE8B-1BF65E62EF13}">
  <sheetPr/>
  <sheetViews>
    <sheetView zoomScale="65" workbookViewId="0" zoomToFit="1"/>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9B9CF8C-2A3D-4044-B2EB-EB2AA21AFB19}">
  <sheetPr/>
  <sheetViews>
    <sheetView zoomScale="6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75C2FC1-73F2-4D54-98C1-A44107A24FA4}">
  <sheetPr/>
  <sheetViews>
    <sheetView zoomScale="6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6CC55A7-0DA1-4D4E-BEE1-CA453558D3ED}">
  <sheetPr/>
  <sheetViews>
    <sheetView zoomScale="6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58BD231-4F40-414A-ACDE-7E64168EB7C9}">
  <sheetPr/>
  <sheetViews>
    <sheetView zoomScale="65"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2495F6B-A2ED-4359-9DAF-5F637A53EEBA}">
  <sheetPr/>
  <sheetViews>
    <sheetView zoomScale="65"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B7A4E68-0D5A-40B0-8680-5EA2FBF2724D}">
  <sheetPr/>
  <sheetViews>
    <sheetView zoomScale="65"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29248DF-5B48-4322-B216-102A26403AC4}">
  <sheetPr/>
  <sheetViews>
    <sheetView zoomScale="65"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933385-F98C-48FE-ADF4-A0220FEF16D2}">
  <sheetPr/>
  <sheetViews>
    <sheetView zoomScale="65"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193DD36-95A2-445A-A919-EAED48F7DA07}">
  <sheetPr/>
  <sheetViews>
    <sheetView zoomScale="6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53571E95-00E6-4B1D-B5BD-6F3C712E001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D8264E1D-AF76-4C7F-8E85-DBE22AD252B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860583D4-B171-44E8-B32E-D2ED41DD6BC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37009F88-64A9-4405-BC74-E797E36EDF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01CB4688-26CD-4072-9785-8B2F5D870B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E9BFF4DF-1C2F-4661-92B5-C4BA90A52A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EC8034C-B36C-40C4-A16E-924AF9863D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2B794838-8ABC-4A73-B237-DA770B970DA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01B44A9F-124B-481D-BADF-CEE4404AC4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EE5E5084-95C2-4F67-A5C3-7CDC816857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DA6AEB12-142A-4FBA-B9A9-DDCAFE849F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AA5C970-04CE-4595-ADD1-B72434EE02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ABB6A87-E851-497F-8C98-54D44C2A43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6DACE36-8100-4F20-BC1F-FFECF09D588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54E111E7-6A7E-4A13-BF12-84059C28ED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A6E16E31-5AD8-4E7C-A91F-468939BF8F0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41FA3834-0B14-4853-9DAE-75E3D599FA1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E55A21F1-39D2-4232-802E-39D66054A4B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IFTON/Desktop/GAM%202019/GAM%20Data,%20Analysis/Iraq%20GAM-HPC%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MTool_DataFile%20RMR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Iraq GAMs"/>
      <sheetName val="GAMs for Accepted HPC"/>
      <sheetName val="GEM A"/>
      <sheetName val="GEM D"/>
      <sheetName val="GEM G"/>
      <sheetName val="GEM J"/>
      <sheetName val="HPC Iraq"/>
    </sheetNames>
    <sheetDataSet>
      <sheetData sheetId="0" refreshError="1"/>
      <sheetData sheetId="1">
        <row r="1">
          <cell r="J1" t="str">
            <v>PJ_GenGrps</v>
          </cell>
          <cell r="K1" t="str">
            <v>PJ_AgeGrps</v>
          </cell>
          <cell r="L1" t="str">
            <v>PJ_ConfirmNA</v>
          </cell>
        </row>
        <row r="2">
          <cell r="J2" t="str">
            <v>W G B M</v>
          </cell>
          <cell r="K2" t="str">
            <v>YC CH AD YA MA OA</v>
          </cell>
        </row>
        <row r="3">
          <cell r="J3" t="str">
            <v>W G B M</v>
          </cell>
          <cell r="K3" t="str">
            <v>YC CH YA MA</v>
          </cell>
        </row>
        <row r="4">
          <cell r="J4" t="str">
            <v>W G B M</v>
          </cell>
          <cell r="K4" t="str">
            <v>YC CH AD YA MA OA</v>
          </cell>
        </row>
        <row r="5">
          <cell r="J5" t="str">
            <v>W G B M</v>
          </cell>
          <cell r="K5" t="str">
            <v>YC CH AD YA MA OA</v>
          </cell>
        </row>
        <row r="6">
          <cell r="J6" t="str">
            <v>W G B M</v>
          </cell>
          <cell r="K6" t="str">
            <v>YC CH AD YA MA OA</v>
          </cell>
        </row>
        <row r="7">
          <cell r="J7" t="str">
            <v>W G B M</v>
          </cell>
          <cell r="K7" t="str">
            <v>YC CH AD YA MA OA</v>
          </cell>
        </row>
        <row r="8">
          <cell r="J8" t="str">
            <v>W B M</v>
          </cell>
          <cell r="K8" t="str">
            <v>YA MA OA</v>
          </cell>
        </row>
        <row r="9">
          <cell r="J9" t="str">
            <v>W M</v>
          </cell>
          <cell r="K9" t="str">
            <v>YA MA OA</v>
          </cell>
        </row>
        <row r="10">
          <cell r="J10" t="str">
            <v>W G B M D</v>
          </cell>
          <cell r="K10" t="str">
            <v>YC CH AD YA MA OA</v>
          </cell>
        </row>
        <row r="11">
          <cell r="J11" t="str">
            <v>W G B M D</v>
          </cell>
          <cell r="K11" t="str">
            <v>YC CH AD YA MA OA</v>
          </cell>
        </row>
        <row r="12">
          <cell r="J12" t="str">
            <v>W G B M D</v>
          </cell>
          <cell r="K12" t="str">
            <v>YC CH AD YA MA OA</v>
          </cell>
        </row>
        <row r="13">
          <cell r="J13" t="str">
            <v>W G B M</v>
          </cell>
          <cell r="K13" t="str">
            <v>CH MA OA</v>
          </cell>
        </row>
        <row r="14">
          <cell r="J14" t="str">
            <v>W G B M</v>
          </cell>
          <cell r="K14" t="str">
            <v>YC CH AD YA MA OA</v>
          </cell>
        </row>
        <row r="15">
          <cell r="J15" t="str">
            <v>W M</v>
          </cell>
          <cell r="K15" t="str">
            <v>YA MA OA</v>
          </cell>
        </row>
        <row r="16">
          <cell r="J16" t="str">
            <v>W G B M</v>
          </cell>
          <cell r="K16" t="str">
            <v>YC CH AD YA MA OA</v>
          </cell>
        </row>
        <row r="17">
          <cell r="J17" t="str">
            <v>W G B M</v>
          </cell>
          <cell r="K17" t="str">
            <v>YC CH AD YA MA OA</v>
          </cell>
        </row>
        <row r="18">
          <cell r="J18" t="str">
            <v>W G B M</v>
          </cell>
          <cell r="K18" t="str">
            <v>YC CH AD</v>
          </cell>
        </row>
        <row r="19">
          <cell r="J19" t="str">
            <v>W G</v>
          </cell>
          <cell r="K19" t="str">
            <v>AD YA MA OA</v>
          </cell>
        </row>
        <row r="20">
          <cell r="J20" t="str">
            <v>W G B M</v>
          </cell>
          <cell r="K20" t="str">
            <v>YC CH AD YA MA</v>
          </cell>
        </row>
        <row r="21">
          <cell r="J21" t="str">
            <v>W G B M</v>
          </cell>
          <cell r="K21" t="str">
            <v>YC CH AD YA MA OA</v>
          </cell>
        </row>
        <row r="22">
          <cell r="J22" t="str">
            <v>W G B M</v>
          </cell>
          <cell r="K22" t="str">
            <v>YC CH AD YA MA OA</v>
          </cell>
        </row>
        <row r="23">
          <cell r="J23" t="str">
            <v>W M</v>
          </cell>
          <cell r="K23" t="str">
            <v>YA MA</v>
          </cell>
        </row>
        <row r="24">
          <cell r="J24" t="str">
            <v>W G B M</v>
          </cell>
          <cell r="K24" t="str">
            <v>YC CH AD YA MA OA</v>
          </cell>
        </row>
        <row r="25">
          <cell r="J25" t="str">
            <v>G B</v>
          </cell>
          <cell r="K25" t="str">
            <v>YC CH AD</v>
          </cell>
        </row>
        <row r="26">
          <cell r="J26" t="str">
            <v>W G B M</v>
          </cell>
          <cell r="K26" t="str">
            <v>YC CH AD YA MA OA</v>
          </cell>
        </row>
        <row r="27">
          <cell r="J27" t="str">
            <v>W G B M</v>
          </cell>
          <cell r="K27" t="str">
            <v>CH AD YA MA</v>
          </cell>
        </row>
        <row r="28">
          <cell r="J28" t="str">
            <v>W G B M D</v>
          </cell>
          <cell r="K28" t="str">
            <v>CH AD YA MA</v>
          </cell>
        </row>
        <row r="29">
          <cell r="J29" t="str">
            <v>W G B M</v>
          </cell>
          <cell r="K29" t="str">
            <v>YC CH AD YA MA OA</v>
          </cell>
        </row>
        <row r="30">
          <cell r="J30" t="str">
            <v>W G B M D</v>
          </cell>
          <cell r="K30" t="str">
            <v>YC CH AD YA MA OA</v>
          </cell>
        </row>
        <row r="31">
          <cell r="J31" t="str">
            <v>W G B M</v>
          </cell>
          <cell r="K31" t="str">
            <v>NA</v>
          </cell>
        </row>
        <row r="32">
          <cell r="J32" t="str">
            <v>W G B M D</v>
          </cell>
          <cell r="K32" t="str">
            <v>YC CH AD YA MA OA</v>
          </cell>
        </row>
        <row r="33">
          <cell r="J33" t="str">
            <v>W G B M</v>
          </cell>
          <cell r="K33" t="str">
            <v>YC CH AD YA MA OA</v>
          </cell>
        </row>
        <row r="34">
          <cell r="J34" t="str">
            <v>W G B M</v>
          </cell>
          <cell r="K34" t="str">
            <v>YC CH AD YA MA OA</v>
          </cell>
        </row>
        <row r="35">
          <cell r="J35" t="str">
            <v>W G B M</v>
          </cell>
          <cell r="K35" t="str">
            <v>CH AD YA MA OA</v>
          </cell>
        </row>
        <row r="36">
          <cell r="J36" t="str">
            <v>W G B M</v>
          </cell>
          <cell r="K36" t="str">
            <v>YC CH AD YA MA</v>
          </cell>
        </row>
        <row r="37">
          <cell r="J37" t="str">
            <v>W G B M</v>
          </cell>
          <cell r="K37" t="str">
            <v>YC CH AD YA MA OA</v>
          </cell>
        </row>
        <row r="38">
          <cell r="J38" t="str">
            <v>W G B M</v>
          </cell>
          <cell r="K38" t="str">
            <v>YC CH AD YA MA OA</v>
          </cell>
        </row>
        <row r="39">
          <cell r="J39" t="str">
            <v>W G B M</v>
          </cell>
          <cell r="K39" t="str">
            <v>CH AD MA OA</v>
          </cell>
        </row>
        <row r="40">
          <cell r="J40" t="str">
            <v>W G B M</v>
          </cell>
          <cell r="K40" t="str">
            <v>YC CH AD YA MA OA</v>
          </cell>
        </row>
        <row r="41">
          <cell r="J41" t="str">
            <v>W G B M</v>
          </cell>
          <cell r="K41" t="str">
            <v>YC CH AD YA MA</v>
          </cell>
        </row>
        <row r="42">
          <cell r="J42" t="str">
            <v>W G B M D</v>
          </cell>
          <cell r="K42" t="str">
            <v>YC CH AD YA MA OA</v>
          </cell>
        </row>
        <row r="43">
          <cell r="J43" t="str">
            <v>W G B M</v>
          </cell>
          <cell r="K43" t="str">
            <v>YC CH AD YA MA OA</v>
          </cell>
        </row>
        <row r="44">
          <cell r="J44" t="str">
            <v>W G B M</v>
          </cell>
          <cell r="K44" t="str">
            <v>YC CH AD YA MA OA</v>
          </cell>
        </row>
        <row r="45">
          <cell r="J45" t="str">
            <v>W G B M D</v>
          </cell>
          <cell r="K45" t="str">
            <v>AD YA MA OA</v>
          </cell>
        </row>
        <row r="46">
          <cell r="J46" t="str">
            <v>W G B M D</v>
          </cell>
          <cell r="K46" t="str">
            <v>YC CH AD YA MA OA</v>
          </cell>
        </row>
        <row r="47">
          <cell r="J47" t="str">
            <v>W G B M D</v>
          </cell>
          <cell r="K47" t="str">
            <v>CH AD YA MA</v>
          </cell>
        </row>
        <row r="48">
          <cell r="J48" t="str">
            <v>W G B M D</v>
          </cell>
          <cell r="K48" t="str">
            <v>YC CH AD YA MA OA</v>
          </cell>
        </row>
        <row r="49">
          <cell r="J49" t="str">
            <v>W G B M</v>
          </cell>
          <cell r="K49" t="str">
            <v>YC CH AD YA MA OA</v>
          </cell>
        </row>
        <row r="50">
          <cell r="J50" t="str">
            <v>W G B M</v>
          </cell>
          <cell r="K50" t="str">
            <v>CH AD YA MA</v>
          </cell>
        </row>
        <row r="51">
          <cell r="J51" t="str">
            <v>D</v>
          </cell>
          <cell r="K51" t="str">
            <v>YC CH AD YA MA OA</v>
          </cell>
        </row>
        <row r="52">
          <cell r="J52" t="str">
            <v>W G B M</v>
          </cell>
          <cell r="K52" t="str">
            <v>YC CH AD YA MA OA</v>
          </cell>
        </row>
        <row r="53">
          <cell r="J53" t="str">
            <v>G B</v>
          </cell>
          <cell r="K53" t="str">
            <v>CH AD YA</v>
          </cell>
        </row>
        <row r="54">
          <cell r="J54" t="str">
            <v>W G B M</v>
          </cell>
          <cell r="K54" t="str">
            <v>YC CH AD YA MA OA</v>
          </cell>
        </row>
        <row r="55">
          <cell r="J55" t="str">
            <v>W G B M D</v>
          </cell>
          <cell r="K55" t="str">
            <v>YC CH AD YA MA OA</v>
          </cell>
        </row>
        <row r="56">
          <cell r="J56" t="str">
            <v>D</v>
          </cell>
          <cell r="K56" t="str">
            <v>NA</v>
          </cell>
        </row>
        <row r="57">
          <cell r="J57" t="str">
            <v>W G B M D</v>
          </cell>
          <cell r="K57" t="str">
            <v>CH AD YA MA OA</v>
          </cell>
        </row>
        <row r="58">
          <cell r="J58" t="str">
            <v>W M</v>
          </cell>
          <cell r="K58" t="str">
            <v>AD YA MA OA</v>
          </cell>
        </row>
        <row r="59">
          <cell r="J59" t="str">
            <v>W G B M</v>
          </cell>
          <cell r="K59" t="str">
            <v>YC CH AD YA MA OA</v>
          </cell>
        </row>
        <row r="60">
          <cell r="J60" t="str">
            <v>W G B M D</v>
          </cell>
          <cell r="K60" t="str">
            <v>YC CH AD YA MA OA</v>
          </cell>
        </row>
        <row r="61">
          <cell r="J61" t="str">
            <v>W G B M D</v>
          </cell>
          <cell r="K61" t="str">
            <v>YC CH AD YA MA OA</v>
          </cell>
        </row>
        <row r="62">
          <cell r="J62" t="str">
            <v>W G B M</v>
          </cell>
          <cell r="K62" t="str">
            <v>YC CH AD YA MA OA</v>
          </cell>
        </row>
        <row r="63">
          <cell r="J63" t="str">
            <v>W G B M</v>
          </cell>
          <cell r="K63" t="str">
            <v>YC CH AD YA MA</v>
          </cell>
        </row>
        <row r="64">
          <cell r="J64" t="str">
            <v>NA</v>
          </cell>
          <cell r="L64" t="str">
            <v>CT SL DV</v>
          </cell>
        </row>
        <row r="65">
          <cell r="J65" t="str">
            <v>W G B M</v>
          </cell>
          <cell r="K65" t="str">
            <v>YC CH AD YA MA OA</v>
          </cell>
        </row>
        <row r="66">
          <cell r="J66" t="str">
            <v>W G</v>
          </cell>
          <cell r="K66" t="str">
            <v>AD YA MA</v>
          </cell>
        </row>
        <row r="67">
          <cell r="J67" t="str">
            <v>D</v>
          </cell>
          <cell r="K67" t="str">
            <v>YC CH AD YA MA OA</v>
          </cell>
        </row>
        <row r="68">
          <cell r="J68" t="str">
            <v>W G B M</v>
          </cell>
          <cell r="K68" t="str">
            <v>YC CH AD YA MA OA</v>
          </cell>
        </row>
        <row r="69">
          <cell r="J69" t="str">
            <v>W G B M</v>
          </cell>
          <cell r="K69" t="str">
            <v>YC CH AD YA MA</v>
          </cell>
        </row>
        <row r="70">
          <cell r="J70" t="str">
            <v>W G B M</v>
          </cell>
          <cell r="K70" t="str">
            <v>YC CH AD YA MA OA</v>
          </cell>
        </row>
        <row r="71">
          <cell r="J71" t="str">
            <v>W G B M</v>
          </cell>
          <cell r="K71" t="str">
            <v>NA</v>
          </cell>
        </row>
        <row r="72">
          <cell r="J72" t="str">
            <v>W G B M</v>
          </cell>
          <cell r="K72" t="str">
            <v>YC CH AD YA MA OA</v>
          </cell>
        </row>
        <row r="73">
          <cell r="J73" t="str">
            <v>W G B M D</v>
          </cell>
          <cell r="K73" t="str">
            <v>YC CH AD YA MA OA</v>
          </cell>
        </row>
        <row r="74">
          <cell r="J74" t="str">
            <v>W G B M</v>
          </cell>
          <cell r="K74" t="str">
            <v>YC CH AD YA MA OA</v>
          </cell>
        </row>
        <row r="75">
          <cell r="J75" t="str">
            <v>W G B M</v>
          </cell>
          <cell r="K75" t="str">
            <v>YC CH AD YA MA OA</v>
          </cell>
        </row>
        <row r="76">
          <cell r="J76" t="str">
            <v>W G B M</v>
          </cell>
          <cell r="K76" t="str">
            <v>AD YA MA OA</v>
          </cell>
        </row>
        <row r="77">
          <cell r="J77" t="str">
            <v>W M</v>
          </cell>
          <cell r="K77" t="str">
            <v>YA MA OA</v>
          </cell>
        </row>
        <row r="78">
          <cell r="J78" t="str">
            <v>W G B M</v>
          </cell>
          <cell r="K78" t="str">
            <v>CH AD YA MA</v>
          </cell>
        </row>
        <row r="79">
          <cell r="J79" t="str">
            <v>W G B M</v>
          </cell>
          <cell r="K79" t="str">
            <v>YC CH AD YA MA OA</v>
          </cell>
        </row>
        <row r="80">
          <cell r="J80" t="str">
            <v>W M</v>
          </cell>
          <cell r="K80" t="str">
            <v>YA MA OA</v>
          </cell>
        </row>
        <row r="81">
          <cell r="J81" t="str">
            <v>W G B M</v>
          </cell>
          <cell r="K81" t="str">
            <v>AD</v>
          </cell>
        </row>
        <row r="82">
          <cell r="J82" t="str">
            <v>W G B M</v>
          </cell>
          <cell r="K82" t="str">
            <v>CH AD MA</v>
          </cell>
        </row>
        <row r="83">
          <cell r="J83" t="str">
            <v>W G B M</v>
          </cell>
          <cell r="K83" t="str">
            <v>YC CH AD YA MA OA</v>
          </cell>
        </row>
        <row r="84">
          <cell r="J84" t="str">
            <v>G B</v>
          </cell>
          <cell r="K84" t="str">
            <v>YC CH AD YA</v>
          </cell>
        </row>
        <row r="85">
          <cell r="J85" t="str">
            <v>W G B M D</v>
          </cell>
          <cell r="K85" t="str">
            <v>YC CH AD YA MA OA</v>
          </cell>
        </row>
        <row r="86">
          <cell r="J86" t="str">
            <v>W G B M D</v>
          </cell>
          <cell r="K86" t="str">
            <v>YC CH AD YA MA OA</v>
          </cell>
        </row>
        <row r="87">
          <cell r="J87" t="str">
            <v>D</v>
          </cell>
          <cell r="K87" t="str">
            <v>YC CH AD YA MA OA</v>
          </cell>
        </row>
        <row r="88">
          <cell r="J88" t="str">
            <v>W G B M</v>
          </cell>
          <cell r="K88" t="str">
            <v>YC CH AD YA MA OA</v>
          </cell>
        </row>
        <row r="89">
          <cell r="J89" t="str">
            <v>W G B M</v>
          </cell>
          <cell r="K89" t="str">
            <v>YC CH AD YA MA OA</v>
          </cell>
        </row>
        <row r="90">
          <cell r="J90" t="str">
            <v>W G B M D</v>
          </cell>
          <cell r="K90" t="str">
            <v>YC CH AD YA MA OA</v>
          </cell>
        </row>
        <row r="91">
          <cell r="J91" t="str">
            <v>NA</v>
          </cell>
          <cell r="L91" t="str">
            <v>CT SL DV</v>
          </cell>
        </row>
        <row r="92">
          <cell r="J92" t="str">
            <v>W G B M D</v>
          </cell>
          <cell r="K92" t="str">
            <v>YC CH AD YA MA OA</v>
          </cell>
        </row>
        <row r="93">
          <cell r="J93" t="str">
            <v>D</v>
          </cell>
          <cell r="K93" t="str">
            <v>CH AD YA MA</v>
          </cell>
        </row>
        <row r="94">
          <cell r="J94" t="str">
            <v>W G B M</v>
          </cell>
          <cell r="K94" t="str">
            <v>YC CH AD YA MA</v>
          </cell>
        </row>
        <row r="95">
          <cell r="J95" t="str">
            <v>W G B M D</v>
          </cell>
          <cell r="K95" t="str">
            <v>YC CH AD YA MA OA</v>
          </cell>
        </row>
        <row r="96">
          <cell r="J96" t="str">
            <v>W G B M</v>
          </cell>
          <cell r="K96" t="str">
            <v>CH AD</v>
          </cell>
        </row>
        <row r="97">
          <cell r="J97" t="str">
            <v>W G B M</v>
          </cell>
          <cell r="K97" t="str">
            <v>YC CH AD MA</v>
          </cell>
        </row>
        <row r="98">
          <cell r="J98" t="str">
            <v>W G B M D</v>
          </cell>
          <cell r="K98" t="str">
            <v>YC CH AD YA MA OA</v>
          </cell>
        </row>
        <row r="99">
          <cell r="J99" t="str">
            <v>W G B M</v>
          </cell>
          <cell r="K99" t="str">
            <v>AD YA MA OA</v>
          </cell>
        </row>
        <row r="100">
          <cell r="J100" t="str">
            <v>W M</v>
          </cell>
          <cell r="K100" t="str">
            <v>YA MA</v>
          </cell>
        </row>
        <row r="101">
          <cell r="J101" t="str">
            <v>W G B M</v>
          </cell>
          <cell r="K101" t="str">
            <v>YC CH AD YA MA OA</v>
          </cell>
        </row>
        <row r="102">
          <cell r="J102" t="str">
            <v>W G B M D</v>
          </cell>
          <cell r="K102" t="str">
            <v>YC CH AD YA MA OA</v>
          </cell>
        </row>
        <row r="103">
          <cell r="J103" t="str">
            <v>W G B M D</v>
          </cell>
          <cell r="K103" t="str">
            <v>YC CH AD YA MA OA</v>
          </cell>
        </row>
        <row r="104">
          <cell r="J104" t="str">
            <v>W G B M</v>
          </cell>
          <cell r="K104" t="str">
            <v>YC CH AD YA</v>
          </cell>
        </row>
        <row r="105">
          <cell r="J105" t="str">
            <v>W G B M</v>
          </cell>
          <cell r="K105" t="str">
            <v>NA</v>
          </cell>
        </row>
        <row r="106">
          <cell r="J106" t="str">
            <v>W G</v>
          </cell>
          <cell r="K106" t="str">
            <v>CH AD YA MA OA</v>
          </cell>
        </row>
        <row r="107">
          <cell r="J107" t="str">
            <v>W G B M D</v>
          </cell>
          <cell r="K107" t="str">
            <v>YC CH AD MA</v>
          </cell>
        </row>
        <row r="108">
          <cell r="J108" t="str">
            <v>W M D</v>
          </cell>
          <cell r="K108" t="str">
            <v>MA OA</v>
          </cell>
        </row>
        <row r="109">
          <cell r="J109" t="str">
            <v>W G B M</v>
          </cell>
          <cell r="K109" t="str">
            <v>MA OA</v>
          </cell>
        </row>
        <row r="110">
          <cell r="J110" t="str">
            <v>W G B M</v>
          </cell>
          <cell r="K110" t="str">
            <v>CH MA OA</v>
          </cell>
        </row>
        <row r="111">
          <cell r="J111" t="str">
            <v>W G B</v>
          </cell>
          <cell r="K111" t="str">
            <v>CH YA MA</v>
          </cell>
        </row>
        <row r="112">
          <cell r="J112" t="str">
            <v>W G B M D</v>
          </cell>
          <cell r="K112" t="str">
            <v>CH AD YA MA OA</v>
          </cell>
        </row>
        <row r="113">
          <cell r="J113" t="str">
            <v>W G B M</v>
          </cell>
          <cell r="K113" t="str">
            <v>YC CH AD YA MA OA</v>
          </cell>
        </row>
        <row r="114">
          <cell r="J114" t="str">
            <v>W G B M D</v>
          </cell>
          <cell r="K114" t="str">
            <v>YC CH AD YA MA OA</v>
          </cell>
        </row>
        <row r="115">
          <cell r="J115" t="str">
            <v>W G B M</v>
          </cell>
          <cell r="K115" t="str">
            <v>CH AD MA OA</v>
          </cell>
        </row>
        <row r="116">
          <cell r="J116" t="str">
            <v>W G B M D</v>
          </cell>
          <cell r="K116" t="str">
            <v>YC CH AD YA MA OA</v>
          </cell>
        </row>
        <row r="117">
          <cell r="J117" t="str">
            <v>W G B M D</v>
          </cell>
          <cell r="K117" t="str">
            <v>YC CH AD YA MA OA</v>
          </cell>
        </row>
        <row r="118">
          <cell r="J118" t="str">
            <v>W G</v>
          </cell>
          <cell r="K118" t="str">
            <v>AD YA MA</v>
          </cell>
        </row>
        <row r="119">
          <cell r="J119" t="str">
            <v>W G B M D</v>
          </cell>
          <cell r="K119" t="str">
            <v>YA MA OA</v>
          </cell>
        </row>
        <row r="120">
          <cell r="J120" t="str">
            <v>W G B M D</v>
          </cell>
          <cell r="K120" t="str">
            <v>YC CH AD YA MA OA</v>
          </cell>
        </row>
        <row r="121">
          <cell r="J121" t="str">
            <v>G B</v>
          </cell>
          <cell r="K121" t="str">
            <v>YC CH</v>
          </cell>
        </row>
        <row r="122">
          <cell r="J122" t="str">
            <v>W G B M D</v>
          </cell>
          <cell r="K122" t="str">
            <v>YC CH AD YA MA OA</v>
          </cell>
        </row>
        <row r="123">
          <cell r="J123" t="str">
            <v>NA</v>
          </cell>
          <cell r="L123" t="str">
            <v>CT SL DV</v>
          </cell>
        </row>
        <row r="124">
          <cell r="J124" t="str">
            <v>NA</v>
          </cell>
          <cell r="L124" t="str">
            <v>CT SL DV</v>
          </cell>
        </row>
        <row r="125">
          <cell r="J125" t="str">
            <v>W G B M D</v>
          </cell>
          <cell r="K125" t="str">
            <v>YC CH AD YA MA OA</v>
          </cell>
        </row>
        <row r="126">
          <cell r="J126" t="str">
            <v>W G B M D</v>
          </cell>
          <cell r="K126" t="str">
            <v>YC CH AD YA MA OA</v>
          </cell>
        </row>
        <row r="127">
          <cell r="J127" t="str">
            <v>W G B</v>
          </cell>
          <cell r="K127" t="str">
            <v>CH MA OA</v>
          </cell>
        </row>
      </sheetData>
      <sheetData sheetId="2" refreshError="1"/>
      <sheetData sheetId="3" refreshError="1"/>
      <sheetData sheetId="4" refreshError="1"/>
      <sheetData sheetId="5" refreshError="1"/>
      <sheetData sheetId="6">
        <row r="2">
          <cell r="E2" t="str">
            <v>4 (M)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GAM Forms"/>
      <sheetName val="Accepted for RMRP"/>
      <sheetName val="Argentina"/>
      <sheetName val="Chile"/>
      <sheetName val="Colombia"/>
      <sheetName val="Ecuador"/>
      <sheetName val="Panama"/>
      <sheetName val="Peru"/>
      <sheetName val="Uruguay"/>
    </sheetNames>
    <sheetDataSet>
      <sheetData sheetId="0"/>
      <sheetData sheetId="1"/>
      <sheetData sheetId="2"/>
      <sheetData sheetId="3"/>
      <sheetData sheetId="4"/>
      <sheetData sheetId="5"/>
      <sheetData sheetId="6"/>
      <sheetData sheetId="7">
        <row r="1">
          <cell r="T1" t="str">
            <v>DA_Action</v>
          </cell>
          <cell r="U1" t="str">
            <v>DA_Gender</v>
          </cell>
          <cell r="V1" t="str">
            <v>DA_Age</v>
          </cell>
          <cell r="W1" t="str">
            <v>DA_Text</v>
          </cell>
          <cell r="X1" t="str">
            <v>DA_Doc</v>
          </cell>
          <cell r="Y1" t="str">
            <v>D1_GEMA</v>
          </cell>
          <cell r="Z1" t="str">
            <v>DD_Action</v>
          </cell>
          <cell r="AA1" t="str">
            <v>DD_Gender</v>
          </cell>
          <cell r="AB1" t="str">
            <v>DD_Age</v>
          </cell>
          <cell r="AC1" t="str">
            <v>DD_Text</v>
          </cell>
          <cell r="AD1" t="str">
            <v>DD_Doc</v>
          </cell>
          <cell r="AE1" t="str">
            <v>D2_GEMD</v>
          </cell>
          <cell r="AF1" t="str">
            <v>DG_Action</v>
          </cell>
          <cell r="AG1" t="str">
            <v>DG_Gender</v>
          </cell>
          <cell r="AH1" t="str">
            <v>DG_Age</v>
          </cell>
          <cell r="AI1" t="str">
            <v>DG_Text</v>
          </cell>
          <cell r="AJ1" t="str">
            <v>DG_Doc</v>
          </cell>
          <cell r="AK1" t="str">
            <v>D3_GEMG</v>
          </cell>
          <cell r="AL1" t="str">
            <v>DJ_Action</v>
          </cell>
          <cell r="AM1" t="str">
            <v>DJ_Gender</v>
          </cell>
          <cell r="AN1" t="str">
            <v>DJ_Age</v>
          </cell>
          <cell r="AO1" t="str">
            <v>DJ_Text</v>
          </cell>
          <cell r="AP1" t="str">
            <v>DJ_Doc</v>
          </cell>
          <cell r="AQ1" t="str">
            <v>D4_GEMJ</v>
          </cell>
          <cell r="AR1" t="str">
            <v>D_GAM</v>
          </cell>
          <cell r="AS1" t="str">
            <v>D_Focus</v>
          </cell>
          <cell r="AT1" t="str">
            <v>MA_Action</v>
          </cell>
          <cell r="AU1" t="str">
            <v>MA_Gender</v>
          </cell>
          <cell r="AV1" t="str">
            <v>MA_Age</v>
          </cell>
          <cell r="AW1" t="str">
            <v>MA_Text</v>
          </cell>
          <cell r="AX1" t="str">
            <v>MA_Doc</v>
          </cell>
          <cell r="AY1" t="str">
            <v>M1_GEMA</v>
          </cell>
          <cell r="AZ1" t="str">
            <v>MB_Action</v>
          </cell>
          <cell r="BA1" t="str">
            <v>MB_Gender</v>
          </cell>
          <cell r="BB1" t="str">
            <v>MB_Age</v>
          </cell>
          <cell r="BC1" t="str">
            <v>M1_GEMB</v>
          </cell>
          <cell r="BD1" t="str">
            <v>MC_Action</v>
          </cell>
          <cell r="BE1" t="str">
            <v>MC_Gender</v>
          </cell>
          <cell r="BF1" t="str">
            <v>MC_Age</v>
          </cell>
          <cell r="BG1" t="str">
            <v>M1_GEMC</v>
          </cell>
          <cell r="BH1" t="str">
            <v>M1_GEM1</v>
          </cell>
          <cell r="BI1" t="str">
            <v>MD_Action</v>
          </cell>
          <cell r="BJ1" t="str">
            <v>MD_Gender</v>
          </cell>
          <cell r="BK1" t="str">
            <v>MD_Age</v>
          </cell>
          <cell r="BL1" t="str">
            <v>MD_Text</v>
          </cell>
          <cell r="BM1" t="str">
            <v>MD_Doc</v>
          </cell>
          <cell r="BN1" t="str">
            <v>M2_GEMD</v>
          </cell>
          <cell r="BO1" t="str">
            <v>ME_Action</v>
          </cell>
          <cell r="BP1" t="str">
            <v>ME_Gender</v>
          </cell>
          <cell r="BQ1" t="str">
            <v>ME_Age</v>
          </cell>
          <cell r="BR1" t="str">
            <v>M2_GEME</v>
          </cell>
          <cell r="BS1" t="str">
            <v>MF_Action</v>
          </cell>
          <cell r="BT1" t="str">
            <v>MF_GenderAge</v>
          </cell>
          <cell r="BU1" t="str">
            <v>M2_GEMF</v>
          </cell>
          <cell r="BV1" t="str">
            <v>M2_GEM2</v>
          </cell>
          <cell r="BW1" t="str">
            <v>MG_Action</v>
          </cell>
          <cell r="BX1" t="str">
            <v>MG_Gender</v>
          </cell>
          <cell r="BY1" t="str">
            <v>MG_Age</v>
          </cell>
          <cell r="BZ1" t="str">
            <v>MG_Text</v>
          </cell>
          <cell r="CA1" t="str">
            <v>MG_Doc</v>
          </cell>
          <cell r="CB1" t="str">
            <v>M3_GEMG</v>
          </cell>
          <cell r="CC1" t="str">
            <v>MH_Action</v>
          </cell>
          <cell r="CD1" t="str">
            <v>MH_Gender</v>
          </cell>
          <cell r="CE1" t="str">
            <v>MH_Age</v>
          </cell>
          <cell r="CF1" t="str">
            <v>M3_GEMH</v>
          </cell>
          <cell r="CG1" t="str">
            <v>MI_Action</v>
          </cell>
          <cell r="CH1" t="str">
            <v>MI_Gender</v>
          </cell>
          <cell r="CI1" t="str">
            <v>MI_Age</v>
          </cell>
          <cell r="CJ1" t="str">
            <v>M3_GEMI</v>
          </cell>
          <cell r="CK1" t="str">
            <v>M3_GEM3</v>
          </cell>
          <cell r="CL1" t="str">
            <v>MJ_Action</v>
          </cell>
          <cell r="CM1" t="str">
            <v>MJ_Gender</v>
          </cell>
          <cell r="CN1" t="str">
            <v>MJ_Age</v>
          </cell>
          <cell r="CO1" t="str">
            <v>MJ_Text</v>
          </cell>
          <cell r="CP1" t="str">
            <v>MJ_Doc</v>
          </cell>
          <cell r="CQ1" t="str">
            <v>M4_GEMJ</v>
          </cell>
          <cell r="CR1" t="str">
            <v>MK_Action</v>
          </cell>
          <cell r="CS1" t="str">
            <v>MK_Gender</v>
          </cell>
          <cell r="CT1" t="str">
            <v>MK_Age</v>
          </cell>
          <cell r="CU1" t="str">
            <v>MK_Text</v>
          </cell>
          <cell r="CV1" t="str">
            <v>MK_Doc</v>
          </cell>
          <cell r="CW1" t="str">
            <v>M4_GEMK</v>
          </cell>
          <cell r="CX1" t="str">
            <v>ML_Action</v>
          </cell>
          <cell r="CY1" t="str">
            <v>ML_Gender</v>
          </cell>
          <cell r="CZ1" t="str">
            <v>ML_Age</v>
          </cell>
          <cell r="DA1" t="str">
            <v>ML_Text</v>
          </cell>
          <cell r="DB1" t="str">
            <v>ML_Doc</v>
          </cell>
          <cell r="DC1" t="str">
            <v>M4_GEML</v>
          </cell>
          <cell r="DD1" t="str">
            <v>M4_GEM4</v>
          </cell>
          <cell r="DE1" t="str">
            <v>M_GAM</v>
          </cell>
          <cell r="DF1" t="str">
            <v>M_Focus</v>
          </cell>
          <cell r="DG1" t="str">
            <v>AP_ItemCount</v>
          </cell>
          <cell r="DH1" t="str">
            <v>GAM</v>
          </cell>
          <cell r="DI1" t="str">
            <v>GAM_Long</v>
          </cell>
          <cell r="DJ1" t="str">
            <v>_status</v>
          </cell>
          <cell r="DK1" t="str">
            <v>today</v>
          </cell>
          <cell r="DL1" t="str">
            <v>_submission_time</v>
          </cell>
          <cell r="DM1" t="str">
            <v>_id</v>
          </cell>
          <cell r="DN1" t="str">
            <v>_uuid</v>
          </cell>
          <cell r="DO1" t="str">
            <v>deviceid</v>
          </cell>
          <cell r="DP1" t="str">
            <v>__version__</v>
          </cell>
        </row>
        <row r="2">
          <cell r="T2" t="str">
            <v>1</v>
          </cell>
          <cell r="U2" t="str">
            <v>W G B M D</v>
          </cell>
          <cell r="V2" t="str">
            <v>YC CH AD YA</v>
          </cell>
          <cell r="W2" t="str">
            <v>La propuesta está orientada a dar soluciones de infraestructura en colegios públicos de acogida. espacios de atención médica y psicológica en comunidades de acogida y espacios comunitarios de soporte dentro de las comunidades de acogida todas estas acciones en el marco de la campaña “Tu causa es Mi Causa” a fin de promover la integración entre la población venezolana y peruana y combatir la xenofobia, reforzando una imagen positiva de los migrantes venezolanos por medio del voluntariado.</v>
          </cell>
          <cell r="X2" t="str">
            <v>SF PERÚ</v>
          </cell>
          <cell r="Y2" t="str">
            <v>4</v>
          </cell>
          <cell r="Z2" t="str">
            <v>0</v>
          </cell>
          <cell r="AE2" t="str">
            <v>0</v>
          </cell>
          <cell r="AF2" t="str">
            <v>0</v>
          </cell>
          <cell r="AK2" t="str">
            <v>0</v>
          </cell>
          <cell r="AL2" t="str">
            <v>2</v>
          </cell>
          <cell r="AM2" t="str">
            <v>W G B M D</v>
          </cell>
          <cell r="AN2" t="str">
            <v>YC CH AD YA</v>
          </cell>
          <cell r="AO2" t="str">
            <v>Nro de voluntarios/as participantes en las actividades de construcción de aulas temporales identificados por género y edad</v>
          </cell>
          <cell r="AP2" t="str">
            <v>SF PERÚ</v>
          </cell>
          <cell r="AQ2" t="str">
            <v>4</v>
          </cell>
          <cell r="AR2" t="str">
            <v>0</v>
          </cell>
          <cell r="AS2" t="str">
            <v>M</v>
          </cell>
          <cell r="DG2">
            <v>0</v>
          </cell>
          <cell r="DH2" t="str">
            <v>0M</v>
          </cell>
          <cell r="DI2" t="str">
            <v>0 (M)</v>
          </cell>
          <cell r="DJ2" t="str">
            <v>submitted_via_web</v>
          </cell>
          <cell r="DK2" t="str">
            <v>2019-09-25</v>
          </cell>
          <cell r="DL2" t="str">
            <v>2019-09-26T16:54:07</v>
          </cell>
          <cell r="DM2">
            <v>69295576</v>
          </cell>
          <cell r="DN2" t="str">
            <v>39ad0ecb-a513-44ed-acdd-64c653e471a8</v>
          </cell>
          <cell r="DO2" t="str">
            <v>ee.humanitarianresponse.info:YxcM7hbeQa6br3NE</v>
          </cell>
          <cell r="DP2" t="str">
            <v>vfoR5HATuvHcK2Mb4RV9e4</v>
          </cell>
        </row>
        <row r="3">
          <cell r="T3" t="str">
            <v>0</v>
          </cell>
          <cell r="W3" t="str">
            <v>No existe aún análisis</v>
          </cell>
          <cell r="X3" t="str">
            <v>No existe aún análisis</v>
          </cell>
          <cell r="Y3" t="str">
            <v>0</v>
          </cell>
          <cell r="Z3" t="str">
            <v>1</v>
          </cell>
          <cell r="AA3" t="str">
            <v>NS</v>
          </cell>
          <cell r="AB3" t="str">
            <v>YC YA MA OA</v>
          </cell>
          <cell r="AC3" t="str">
            <v>Se implementará centros de cuidado para niños menores, donde recibirán alimentación y sumplementación con sulfato ferroso.
Se identificará a un grupo de jóvenes que recibirán capacitación en CETPROS y de aprobar el curso recibirán capital para iniciar un emprendimiento,
Los adultos de mediana edad y adultos mayores recibirán tarjetas con dinero para multipropósito o casos de emergencia.</v>
          </cell>
          <cell r="AD3" t="str">
            <v>Está en el EXCEL presentado en RMRP 2020</v>
          </cell>
          <cell r="AE3" t="str">
            <v>2</v>
          </cell>
          <cell r="AF3" t="str">
            <v>1 2 3</v>
          </cell>
          <cell r="AG3" t="str">
            <v>NS</v>
          </cell>
          <cell r="AH3" t="str">
            <v>NS</v>
          </cell>
          <cell r="AI3" t="str">
            <v>Se realizó un diagnóstico para identificación de necesidades, también en un proyecto previo se recogieron encuestas de satisfacción en el que se obtuvieron comentarios y retroalimentación para futuras intervenciones.</v>
          </cell>
          <cell r="AJ3" t="str">
            <v>El documento no está publicado, de ser necesario podemos compartirlo</v>
          </cell>
          <cell r="AK3" t="str">
            <v>1</v>
          </cell>
          <cell r="AL3" t="str">
            <v>2</v>
          </cell>
          <cell r="AM3" t="str">
            <v>G B</v>
          </cell>
          <cell r="AN3" t="str">
            <v>YC</v>
          </cell>
          <cell r="AO3" t="str">
            <v>El indicador es: N° de niños que reciben intervenciones nutricionales, se realizará un registro de los alimentos y medicamentos entregados y los padres de familia realizarán una encuesta de satisfacción con el servicio brindado</v>
          </cell>
          <cell r="AP3" t="str">
            <v>Documento EXCEL enviado a RMRP 2020</v>
          </cell>
          <cell r="AQ3" t="str">
            <v>4</v>
          </cell>
          <cell r="AR3" t="str">
            <v>1</v>
          </cell>
          <cell r="AS3" t="str">
            <v>M</v>
          </cell>
          <cell r="DG3">
            <v>0</v>
          </cell>
          <cell r="DH3" t="str">
            <v>1M</v>
          </cell>
          <cell r="DI3" t="str">
            <v>1 (M)</v>
          </cell>
          <cell r="DJ3" t="str">
            <v>submitted_via_web</v>
          </cell>
          <cell r="DK3" t="str">
            <v>2019-09-26</v>
          </cell>
          <cell r="DL3" t="str">
            <v>2019-09-27T20:51:52</v>
          </cell>
          <cell r="DM3">
            <v>69413451</v>
          </cell>
          <cell r="DN3" t="str">
            <v>ff06e065-c942-42e7-b27e-f0dd749aa167</v>
          </cell>
          <cell r="DO3" t="str">
            <v>ee.humanitarianresponse.info:g1Kzii6AanuuIO6D</v>
          </cell>
          <cell r="DP3" t="str">
            <v>vp86QYmujSsq9anoBGtGAw</v>
          </cell>
        </row>
        <row r="4">
          <cell r="T4" t="str">
            <v>1</v>
          </cell>
          <cell r="U4" t="str">
            <v>W G B M D</v>
          </cell>
          <cell r="V4" t="str">
            <v>CH AD OA</v>
          </cell>
          <cell r="W4" t="str">
            <v>Personas que ingresan a las casas de acogida y que a través de visitas a comunidades o jurisdicciones de la ciudad de Lima y Tacna presentan diferentes clases de necesidades y vulnerabiliadades</v>
          </cell>
          <cell r="X4" t="str">
            <v>base de datos</v>
          </cell>
          <cell r="Y4" t="str">
            <v>4</v>
          </cell>
          <cell r="Z4" t="str">
            <v>1</v>
          </cell>
          <cell r="AA4" t="str">
            <v>EQA</v>
          </cell>
          <cell r="AB4" t="str">
            <v>NS</v>
          </cell>
          <cell r="AC4" t="str">
            <v>Las diferentes acitividades realizadas dentro y fuera de los albergues o casas de acogida Scalabrinianos estan dirigidas a toda persona sin distinción de raza, credo o genero velando por su dignidad como persona humana</v>
          </cell>
          <cell r="AD4" t="str">
            <v>mision de la Asociación Scalabriniana</v>
          </cell>
          <cell r="AE4" t="str">
            <v>1</v>
          </cell>
          <cell r="AF4" t="str">
            <v>1 2 3</v>
          </cell>
          <cell r="AG4" t="str">
            <v>W G B</v>
          </cell>
          <cell r="AH4" t="str">
            <v>NS</v>
          </cell>
          <cell r="AI4" t="str">
            <v>Las personas con mayores vulnerabilidades</v>
          </cell>
          <cell r="AJ4" t="str">
            <v>Texto del Proyecto</v>
          </cell>
          <cell r="AK4" t="str">
            <v>3</v>
          </cell>
          <cell r="AL4" t="str">
            <v>3</v>
          </cell>
          <cell r="AM4" t="str">
            <v>W G B M</v>
          </cell>
          <cell r="AN4" t="str">
            <v>YC CH AD YA MA OA</v>
          </cell>
          <cell r="AO4" t="str">
            <v>Registro de ingreso a las casa de acogida o albergues y registro de productos entregados y encuestas de satisfacción</v>
          </cell>
          <cell r="AP4" t="str">
            <v>informes y planteamiento del</v>
          </cell>
          <cell r="AQ4" t="str">
            <v>4</v>
          </cell>
          <cell r="AR4" t="str">
            <v>3</v>
          </cell>
          <cell r="AS4" t="str">
            <v>M</v>
          </cell>
          <cell r="DG4">
            <v>0</v>
          </cell>
          <cell r="DH4" t="str">
            <v>3M</v>
          </cell>
          <cell r="DI4" t="str">
            <v>3 (M)</v>
          </cell>
          <cell r="DJ4" t="str">
            <v>submitted_via_web</v>
          </cell>
          <cell r="DK4" t="str">
            <v>2019-09-26</v>
          </cell>
          <cell r="DL4" t="str">
            <v>2019-09-28T01:53:15</v>
          </cell>
          <cell r="DM4">
            <v>69419865</v>
          </cell>
          <cell r="DN4" t="str">
            <v>3886500f-300c-4128-86e9-96cc1f91bc89</v>
          </cell>
          <cell r="DO4" t="str">
            <v>ee.humanitarianresponse.info:qsnMfLSO3CoacmTD</v>
          </cell>
          <cell r="DP4" t="str">
            <v>vp86QYmujSsq9anoBGtGAw</v>
          </cell>
        </row>
        <row r="5">
          <cell r="T5" t="str">
            <v>0</v>
          </cell>
          <cell r="W5" t="str">
            <v>RET se enfoca principalmente en dos pilares: jóvenes y mujeres, ya que representan parte de las poblaciones más vulnerables durante las crisis, así como los mayores factores de cambio positivo. Por ello, en la región de Latinoamérica y el Caribe, todos los proyectos implementados por RET cuentan con un enfoque de género como elemento transversal e implementan estrategias con énfasis en la protección y empoderamiento de las mujeres. Esto ha permitido identificar brechas en la región con respecto a la equidad de género en donde vemos necesario reforzar el acceso a oportunidades y el ejercicio a los derechos. Es por ello que las actividades propuestas como parte del plan de respuesta 2020 están enfocadas en fortalecer las capacidades y mecanismos de protección ante los riesgos a los cuales están expuestas las mujeres y los NNA. Estas actividades se diseñaron a través de la experiencia institucional y en base a un análisis de necesidades y de género regional que se está realizando con el apoyo de las oficinales nacionales en cada país dónde tiene presencia RET.</v>
          </cell>
          <cell r="X5" t="str">
            <v>En proceso</v>
          </cell>
          <cell r="Y5" t="str">
            <v>0</v>
          </cell>
          <cell r="Z5" t="str">
            <v>2</v>
          </cell>
          <cell r="AA5" t="str">
            <v>W G B M D</v>
          </cell>
          <cell r="AB5" t="str">
            <v>YC CH AD YA MA OA</v>
          </cell>
          <cell r="AC5" t="str">
            <v>Las actividades propuestas para el plan de respuesta tienen como objetivo desarrollar diferentes mecanismos de protección específicamente para mujeres y para NNA. Como parte de los mecanismos y desarrollo de capacidades se incluyen módulos y estrategias específicas para responder a las necesidades de grupos que pueden estar expuestos a una serie de vulnerabilidades según el contexto tales como personas con discapacidad, personas de la tercera edad, personas LGTBIQ y etnias indígenas. De tal manera que en los talleres de capacitación propuestos existen módulos que permiten generar junto a los/as participantes estrategias inclusivas y específicas para estos grupos de población; las campañas propuestas incluirán un énfasis en la integración de personas con discapacidad en el ámbito escolar; el instrumento que se va a desarrollar tendrá una sección específica para recoger información acerca de grupos minoritarios y finalmente el mecanismo de gestión de casos tendrá en cuenta las necesidades particulares de NNA con discapacidad que requieran documentación para acceder al sistema educativo. RET también incluye como parte de sus estrategias de respuesta mecanismos para empoderar grupos poblaciones minoritarios que se encuentran en situaciones vulnerables para así generar sostenibilidad a mediano y largo plazo.</v>
          </cell>
          <cell r="AD5" t="str">
            <v>Todas las estrategias, lineamientos y guías de RET tienen un enfoque diferencial</v>
          </cell>
          <cell r="AE5" t="str">
            <v>4</v>
          </cell>
          <cell r="AF5" t="str">
            <v>1 2 3 4</v>
          </cell>
          <cell r="AG5" t="str">
            <v>W G B M D</v>
          </cell>
          <cell r="AH5" t="str">
            <v>YC CH AD YA MA OA</v>
          </cell>
          <cell r="AI5" t="str">
            <v>Los/as beneficiarios/as del proyecto van a participar activamente en un primer tiempo durante la construcción e implementación de las estrategias y posteriormente a través de instrumentos diseñados por RET desde el enfoque de género para recoger y analizar sus comentarios y sugerencias e incluirlos de manera efectiva en el proyecto. La propuesta va a permitir mejorar las capacidades de actores claves de manera participativa para que estos a su vez se conviertan en multiplicadores y generen estrategias participativas directamente con las comunidades. También se van a generar mecanismos de protección que permitan la participación activa y permanente de las comunidades locales. Por una parte en los talleres de capacitación se van a diseñar en conjunto con los/las participantes mecanismos y estrategias de protección para mujeres y NNA; la campaña de inclusión será diseñada e implementada directamente por las redes de jóvenes de RET en la región; el instrumento que se desarrollará va a crear estrategias para desarrollar en conjunto con las comunidades mecanismos de protección para las mujeres y finalmente el mecanismo de gestión de casos será diseñado con actores locales y además contará con un mecanismo de retroalimentación para que los NNA y sus familias puedan expresar sus comentarios. De esta manera RET garantizará una participación activa a lo largo de todas las etapas del proyecto y la rendición de cuentas.</v>
          </cell>
          <cell r="AJ5" t="str">
            <v>Todas las estrategias y guías de RET contienen lineamientos para la participación de los diferentes grupos con un énfasis particular en la participación de NNAJ.</v>
          </cell>
          <cell r="AK5" t="str">
            <v>4</v>
          </cell>
          <cell r="AL5" t="str">
            <v>2</v>
          </cell>
          <cell r="AM5" t="str">
            <v>W G B M</v>
          </cell>
          <cell r="AN5" t="str">
            <v>CH MA</v>
          </cell>
          <cell r="AO5" t="str">
            <v>Las actividades propuestas no involucran la entrega directa de beneficios, sin embargo, se van a utilizar instrumentos de monitoreo y evaluación para medir el impacto de las estrategias y la satisfacción de las personas que van a participar. En lo que concierna el sistema de gestión de casos se van a registrar la cantidad de NNA, desagregados por grupos de género, que reciban documentos que permitan su acceso al sistema escolar en el país de acogida; en las campañas además de medir la cantidad de personas alcanzadas se realizaran encuestas de percepción acerca de los resultados y también se van a medir la cantidad de grupos comunitarios en los que se implemente la guía regional para establecer mecanismos mínimos comunitarios de protección para las mujeres. Finalmente, los TOT van a medir la cantidad de personas capacitadas y también el conocimiento adquirido.</v>
          </cell>
          <cell r="AP5" t="str">
            <v>En los indicadores de las actividades regionales para el RMRP 2020</v>
          </cell>
          <cell r="AQ5" t="str">
            <v>4</v>
          </cell>
          <cell r="AR5" t="str">
            <v>4</v>
          </cell>
          <cell r="AS5" t="str">
            <v>M</v>
          </cell>
          <cell r="DG5">
            <v>0</v>
          </cell>
          <cell r="DH5" t="str">
            <v>4M</v>
          </cell>
          <cell r="DI5" t="str">
            <v>4 (M)</v>
          </cell>
          <cell r="DJ5" t="str">
            <v>submitted_via_web</v>
          </cell>
          <cell r="DK5" t="str">
            <v>2019-09-28</v>
          </cell>
          <cell r="DL5" t="str">
            <v>2019-09-29T17:12:00</v>
          </cell>
          <cell r="DM5">
            <v>69558849</v>
          </cell>
          <cell r="DN5" t="str">
            <v>8985d8b0-5426-431e-88b0-c2f1209516b9</v>
          </cell>
          <cell r="DO5" t="str">
            <v>ee.humanitarianresponse.info:cs8Th5bS93rsJRw5</v>
          </cell>
          <cell r="DP5" t="str">
            <v>vp86QYmujSsq9anoBGtGAw</v>
          </cell>
        </row>
        <row r="6">
          <cell r="T6" t="str">
            <v>1</v>
          </cell>
          <cell r="U6" t="str">
            <v>W G B M D</v>
          </cell>
          <cell r="V6" t="str">
            <v>YC CH AD YA MA OA</v>
          </cell>
          <cell r="W6" t="str">
            <v>Los productos de información presentarán datos desagregados por edad y genero.</v>
          </cell>
          <cell r="X6" t="str">
            <v>Todos los productos de información de iMMAP sobre necesidades de la población afectada.</v>
          </cell>
          <cell r="Y6" t="str">
            <v>4</v>
          </cell>
          <cell r="Z6" t="str">
            <v>1</v>
          </cell>
          <cell r="AA6" t="str">
            <v>W G B M D</v>
          </cell>
          <cell r="AB6" t="str">
            <v>YC CH AD YA MA OA</v>
          </cell>
          <cell r="AC6" t="str">
            <v>Los productos de información que recibirán nuestros socios presentarán datos desagregados por edad y género para así brindar una asistencia enfocada en las necesidades de cada población afectada.</v>
          </cell>
          <cell r="AD6" t="str">
            <v>Todos los productos de información de iMMAP sobre necesidades de la población afectada.</v>
          </cell>
          <cell r="AE6" t="str">
            <v>4</v>
          </cell>
          <cell r="AF6" t="str">
            <v>1</v>
          </cell>
          <cell r="AG6" t="str">
            <v>W G B M D</v>
          </cell>
          <cell r="AH6" t="str">
            <v>YC CH AD YA MA OA</v>
          </cell>
          <cell r="AI6" t="str">
            <v>Por su participación en grupos focales y encuestas que hacen parte de los diagnósticos de necesidades.</v>
          </cell>
          <cell r="AJ6" t="str">
            <v>Todos los productos de información de iMMAP sobre necesidades de la población afectada.</v>
          </cell>
          <cell r="AK6" t="str">
            <v>4</v>
          </cell>
          <cell r="AL6" t="str">
            <v>2</v>
          </cell>
          <cell r="AM6" t="str">
            <v>W G B M D</v>
          </cell>
          <cell r="AN6" t="str">
            <v>YC CH AD YA MA OA</v>
          </cell>
          <cell r="AO6" t="str">
            <v>Por medio de nuestros productos de información nuestros socios podrán brindar una asistencia focalizada a las necesidades de los beneficiarios.</v>
          </cell>
          <cell r="AP6" t="str">
            <v>Todos los productos de información de iMMAP sobre necesidades de la población afectada.</v>
          </cell>
          <cell r="AQ6" t="str">
            <v>4</v>
          </cell>
          <cell r="AR6" t="str">
            <v>4</v>
          </cell>
          <cell r="AS6" t="str">
            <v>M</v>
          </cell>
          <cell r="DG6">
            <v>0</v>
          </cell>
          <cell r="DH6" t="str">
            <v>4M</v>
          </cell>
          <cell r="DI6" t="str">
            <v>4 (M)</v>
          </cell>
          <cell r="DJ6" t="str">
            <v>submitted_via_web</v>
          </cell>
          <cell r="DK6" t="str">
            <v>2019-09-29</v>
          </cell>
          <cell r="DL6" t="str">
            <v>2019-10-01T02:27:52</v>
          </cell>
          <cell r="DM6">
            <v>69711185</v>
          </cell>
          <cell r="DN6" t="str">
            <v>511c78a8-c990-4d48-a2cf-1468c84f8d01</v>
          </cell>
          <cell r="DO6" t="str">
            <v>ee.humanitarianresponse.info:WXa4Le2aLNsPLpmg</v>
          </cell>
          <cell r="DP6" t="str">
            <v>vp86QYmujSsq9anoBGtGAw</v>
          </cell>
        </row>
        <row r="7">
          <cell r="T7" t="str">
            <v>1</v>
          </cell>
          <cell r="U7" t="str">
            <v>W G B M D</v>
          </cell>
          <cell r="V7" t="str">
            <v>YC CH AD YA MA OA</v>
          </cell>
          <cell r="W7" t="str">
            <v>La municipalidad cuenta con un instrumento de gestion territorial denominado PLAN OPERATIVO INSTITUCIONAL 2019, el mismo que se construye sobre el Plan de Desarrollo Concertado para la Region del Callao, que alinea objetivos para eliminar las  desigualdades entre los generos</v>
          </cell>
          <cell r="X7" t="str">
            <v>PLAN OPERATIVO INSTITUCIONAL 2019. http://municarmendelalegua.gob.pe/wp-content/uploads/2019/03/POI2019.pdf</v>
          </cell>
          <cell r="Y7" t="str">
            <v>4</v>
          </cell>
          <cell r="Z7" t="str">
            <v>1</v>
          </cell>
          <cell r="AA7" t="str">
            <v>W G B M D</v>
          </cell>
          <cell r="AB7" t="str">
            <v>YC CH AD YA MA</v>
          </cell>
          <cell r="AC7" t="str">
            <v>La municipalidad en el marco de sus competencias exclusivas y compartidad ejerce la promocion de los derechos y la proteccion de las poblaciones vulnerables de acuerdo con la ley 27972 ley organica de municipalidades</v>
          </cell>
          <cell r="AD7" t="str">
            <v>PLAN OPERATIVO INSTITUCIONAL 2019. http://municarmendelalegua.gob.pe/wp-content/uploads/2019/03/POI2019.pdf</v>
          </cell>
          <cell r="AE7" t="str">
            <v>4</v>
          </cell>
          <cell r="AF7" t="str">
            <v>1</v>
          </cell>
          <cell r="AG7" t="str">
            <v>W G B M D</v>
          </cell>
          <cell r="AH7" t="str">
            <v>AD YA MA</v>
          </cell>
          <cell r="AI7" t="str">
            <v>La politica de los gobierno locales otorga un rol importante a la participacion ciudadana para la solucion de las necesidades del territorio donde ejerce funciones exclusivas y compartidas, siendo las personas afectadas quienes ejercen a su vez derechos de participacion y control ciudadano de acuerdo con la ley 26300 ley de participacion y control ciudadano</v>
          </cell>
          <cell r="AJ7" t="str">
            <v>PLAN OPERATIVO INSTITUCIONAL 2019. http://municarmendelalegua.gob.pe/wp-content/uploads/2019/03/POI2019.pdf</v>
          </cell>
          <cell r="AK7" t="str">
            <v>4</v>
          </cell>
          <cell r="AL7" t="str">
            <v>3</v>
          </cell>
          <cell r="AM7" t="str">
            <v>W G B M D</v>
          </cell>
          <cell r="AN7" t="str">
            <v>YC CH AD YA MA OA</v>
          </cell>
          <cell r="AO7" t="str">
            <v>Numero de participantes por edad, genero, condicion de vulnerabilidad, nivel educativo
Encuestas de satisfaccion
Reporte sobre mensajes de integracion en poblacion de acogida</v>
          </cell>
          <cell r="AP7" t="str">
            <v>PLAN OPERATIVO INSTITUCIONAL 2019. http://municarmendelalegua.gob.pe/wp-content/uploads/2019/03/POI2019.pdf</v>
          </cell>
          <cell r="AQ7" t="str">
            <v>4</v>
          </cell>
          <cell r="AR7" t="str">
            <v>4</v>
          </cell>
          <cell r="AS7" t="str">
            <v>M</v>
          </cell>
          <cell r="DG7">
            <v>0</v>
          </cell>
          <cell r="DH7" t="str">
            <v>4M</v>
          </cell>
          <cell r="DI7" t="str">
            <v>4 (M)</v>
          </cell>
          <cell r="DJ7" t="str">
            <v>submitted_via_web</v>
          </cell>
          <cell r="DK7" t="str">
            <v>2019-10-01</v>
          </cell>
          <cell r="DL7" t="str">
            <v>2019-10-02T15:40:19</v>
          </cell>
          <cell r="DM7">
            <v>69911458</v>
          </cell>
          <cell r="DN7" t="str">
            <v>ad970dfc-1ff0-4a43-a47d-f6b3b394b2a9</v>
          </cell>
          <cell r="DO7" t="str">
            <v>ee.humanitarianresponse.info:ypvdYGMAb9Bb4OEr</v>
          </cell>
          <cell r="DP7" t="str">
            <v>vp86QYmujSsq9anoBGtGAw</v>
          </cell>
        </row>
        <row r="8">
          <cell r="T8" t="str">
            <v>1</v>
          </cell>
          <cell r="U8" t="str">
            <v>W G B M</v>
          </cell>
          <cell r="V8" t="str">
            <v>YC CH AD YA MA OA</v>
          </cell>
          <cell r="W8" t="str">
            <v>El proyecto tendrá un enfoque específico para que las mujeres participantes y sobrevivientes de violencia de género puedan acceder a servicios de alta calidad y sus necesidades sean atendidas de manera consistente y oportuna para que puedan vivir libres de violencia y tener acceso a la igualdad de oportunidades. El proyecto también responderá a las necesidades inmediatas y vitales de las mujeres y niñas en riesgo, y de los sobrevivientes mediante el acceso a servicios psicosociales y de asesoramiento jurídico. Además, se crearán grupos de apoyo que permitirán a los participantes en situación de riesgo realizar cambios sustanciales en sus comunidades de acogida y participar en el empoderamiento social o económico. RET buscará asegurar que la respuesta a los diferentes flujos migratorios utilice un enfoque de igualdad de género y cuente con información desagregada e instrumentos inclusivos de género que estén disponibles para el trabajo conjunto con los actores locales.</v>
          </cell>
          <cell r="X8" t="str">
            <v>Young Women's Education &amp; Socio-Economic Empowerment - RET</v>
          </cell>
          <cell r="Y8" t="str">
            <v>4</v>
          </cell>
          <cell r="Z8" t="str">
            <v>2</v>
          </cell>
          <cell r="AA8" t="str">
            <v>W G B M D</v>
          </cell>
          <cell r="AB8" t="str">
            <v>YC CH AD YA MA OA</v>
          </cell>
          <cell r="AC8" t="str">
            <v>Los criterios de vulnerabilidad que contempla el proyecto son: 
Jefas de hogar que es económicamente responsable de todo el grupo familiar. 
Hombres y mujeres que buscan mejorar sus condiciones financieras para enviar remesas a sus familias en Venezuela o trasladar a sus familias a Perú u otro país. 
Personas con vulnerabilidades: familias con personas mayores; personas con enfermedades crónicas y discapacidades, personas que viven con VIH/ SIDA, niños/as y adolescentes que sufren de desnutrición y sobrevivientes de tortura o violencia y personas LGBT. 
Jóvenes con otras vulnerabilidades: con niveles elevados de movilidad y en riesgo de sufrir desplazamiento forzado en las comunidades a lo largo de la región fronteriza. Son vulnerables a las violaciones de los derechos humanos, incluida la violencia sexual de género, la trata de personas, el reclutamiento de grupos delictivos, el tráfico de drogas, la reducción del rendimiento educativo, la deserción escolar y la discriminación social.</v>
          </cell>
          <cell r="AD8" t="str">
            <v>Encuesta de Opinión de los Participantes  - RET</v>
          </cell>
          <cell r="AE8" t="str">
            <v>4</v>
          </cell>
          <cell r="AF8" t="str">
            <v>1 2</v>
          </cell>
          <cell r="AG8" t="str">
            <v>W G B M D</v>
          </cell>
          <cell r="AH8" t="str">
            <v>YC CH AD YA MA OA</v>
          </cell>
          <cell r="AI8" t="str">
            <v>A partir de 2018, RET introdujo una Encuesta de Opinión de los Participantes que incluye la voz de los beneficiarios. Esta encuesta permite a los beneficiarios indicar si consideran que existen (suficientes) mecanismos y estrategias para presentar quejas, haciendo hincapié en las cuestiones de protección (por ejemplo: abuso de la explotación sexual, una política obligatoria de RET´s Código de Conducta PSEA), si se sienten satisfechos con los procedimientos y herramientas utilizados por RET para asegurar su rendición de cuentas a la población afectada y, por último, si perciben que sus aportes y retroalimentación se están integrando en la implementación diaria y en el ciclo completo del proyecto (diseño, planificación, implementación, monitoreo y evaluación). La implementación de esta Encuesta es obligatoria en todas las oficinas de país y programas/proyectos de RET para fortalecer la rendición de cuentas institucional ante el enfoque de población afectada.</v>
          </cell>
          <cell r="AJ8" t="str">
            <v>Encuesta de Retroalimentación de Beneficiarios - RET</v>
          </cell>
          <cell r="AK8" t="str">
            <v>4</v>
          </cell>
          <cell r="AL8" t="str">
            <v>3</v>
          </cell>
          <cell r="AM8" t="str">
            <v>W G B M</v>
          </cell>
          <cell r="AN8" t="str">
            <v>CH AD</v>
          </cell>
          <cell r="AO8" t="str">
            <v>Los beneficios se determinarán con encuestas de percepción o de satisfacción</v>
          </cell>
          <cell r="AP8" t="str">
            <v>Encuesta de satisfacción - RET</v>
          </cell>
          <cell r="AQ8" t="str">
            <v>4</v>
          </cell>
          <cell r="AR8" t="str">
            <v>4</v>
          </cell>
          <cell r="AS8" t="str">
            <v>M</v>
          </cell>
          <cell r="DG8">
            <v>0</v>
          </cell>
          <cell r="DH8" t="str">
            <v>4M</v>
          </cell>
          <cell r="DI8" t="str">
            <v>4 (M)</v>
          </cell>
          <cell r="DJ8" t="str">
            <v>submitted_via_web</v>
          </cell>
          <cell r="DK8" t="str">
            <v>2019-09-25</v>
          </cell>
          <cell r="DL8" t="str">
            <v>2019-09-28T00:02:13</v>
          </cell>
          <cell r="DM8">
            <v>69418004</v>
          </cell>
          <cell r="DN8" t="str">
            <v>71a667e4-0b71-447b-86f8-d3cc8742f1a9</v>
          </cell>
          <cell r="DO8" t="str">
            <v>ee.humanitarianresponse.info:BGnnFHhAHeOxwj3r</v>
          </cell>
          <cell r="DP8" t="str">
            <v>vp86QYmujSsq9anoBGtGAw</v>
          </cell>
        </row>
        <row r="9">
          <cell r="T9" t="str">
            <v>1</v>
          </cell>
          <cell r="U9" t="str">
            <v>W M D</v>
          </cell>
          <cell r="V9" t="str">
            <v>YC YA MA</v>
          </cell>
          <cell r="W9" t="str">
            <v>El proyecto busca contribuir a fortalecer mecanismos de acogida, protección y promoción de migrantes en zonas con altos índices de casos de trata de personas y presencia de migrantes para favorecer procesos de integración en el territorio peruano, a través del fortalecimiento de las capacidades de los equipos de pastoral de movilidad humana en varias ciudades,  así como del Centro de Información al Migrante Venezolano en Lima, con énfasis en temáticas laborales, legales y de asistencia humanitaria, al tiempo que pretende sensibilizar a la población nacional sobre los procesos migratorios a fin de prevenir la xenofobia y la discriminación.</v>
          </cell>
          <cell r="X9" t="str">
            <v>Proyecto Manos Unidas</v>
          </cell>
          <cell r="Y9" t="str">
            <v>4</v>
          </cell>
          <cell r="Z9" t="str">
            <v>1</v>
          </cell>
          <cell r="AA9" t="str">
            <v>W G B M D</v>
          </cell>
          <cell r="AB9" t="str">
            <v>YC CH YA</v>
          </cell>
          <cell r="AC9" t="str">
            <v>La mayoría de migrantes que atendemos son mujeres. las que buscamos fortalecer, laboran como voluntarias en los equipos de movilidad humana, fortalecimiento de sus capacidades en temas de normativa migratoria y procedimientos de acogida</v>
          </cell>
          <cell r="AD9" t="str">
            <v>Proyecto Manos Unidas</v>
          </cell>
          <cell r="AE9" t="str">
            <v>4</v>
          </cell>
          <cell r="AF9" t="str">
            <v>1</v>
          </cell>
          <cell r="AG9" t="str">
            <v>W M D</v>
          </cell>
          <cell r="AH9" t="str">
            <v>CH YA MA</v>
          </cell>
          <cell r="AI9" t="str">
            <v>Los migrantes fortalecidos y capacitados en temas de prevención de trata de personas, se convierten en agentes multiplicadores</v>
          </cell>
          <cell r="AJ9" t="str">
            <v>Proyecto Manos Unidas</v>
          </cell>
          <cell r="AK9" t="str">
            <v>4</v>
          </cell>
          <cell r="AL9" t="str">
            <v>2</v>
          </cell>
          <cell r="AM9" t="str">
            <v>W M D</v>
          </cell>
          <cell r="AN9" t="str">
            <v>YA MA</v>
          </cell>
          <cell r="AO9" t="str">
            <v>Encuestas en los talleres, informes descriptivos, materiales de orientación entregados</v>
          </cell>
          <cell r="AP9" t="str">
            <v>Proyecto Manos Unidas</v>
          </cell>
          <cell r="AQ9" t="str">
            <v>4</v>
          </cell>
          <cell r="AR9" t="str">
            <v>4</v>
          </cell>
          <cell r="AS9" t="str">
            <v>M</v>
          </cell>
          <cell r="DG9">
            <v>0</v>
          </cell>
          <cell r="DH9" t="str">
            <v>4M</v>
          </cell>
          <cell r="DI9" t="str">
            <v>4 (M)</v>
          </cell>
          <cell r="DJ9" t="str">
            <v>submitted_via_web</v>
          </cell>
          <cell r="DK9" t="str">
            <v>2019-09-26</v>
          </cell>
          <cell r="DL9" t="str">
            <v>2019-09-27T21:00:42</v>
          </cell>
          <cell r="DM9">
            <v>69413858</v>
          </cell>
          <cell r="DN9" t="str">
            <v>8235a7f8-be13-4b1c-9abc-f009cb2b880f</v>
          </cell>
          <cell r="DO9" t="str">
            <v>ee.humanitarianresponse.info:BAM9Q6P0KaECoOW0</v>
          </cell>
          <cell r="DP9" t="str">
            <v>vp86QYmujSsq9anoBGtGAw</v>
          </cell>
        </row>
        <row r="10">
          <cell r="T10" t="str">
            <v>2</v>
          </cell>
          <cell r="U10" t="str">
            <v>W G</v>
          </cell>
          <cell r="V10" t="str">
            <v>AD YA</v>
          </cell>
          <cell r="W10" t="str">
            <v>The social vulnerability that venezuelan women face in Peru is being accentuated, a situation that is aggravated in the case of children and young women mainly. The following gaps have been identified:
•	Situations of risks: abuse, violence and even sexual exploitation, labor and/or human trafficking.
•	Exploitation and informality in the workplace, which are normally informal spaces with limited accomplishment of work regulations, worker rights and posibilities to raise alerts in case of abuse and GBV.
•	Overcrowding in living spaces because they have to share housing with different families, which also causes bad conditions of habitability and vulnerability for children because they are forced to share rooms with adults.
•	Xenophobia and stigmatization by host communities
It is necessary to find the confluence between migration and gender equity, emphasizing the protection of the rights of children, women and, in general, the migrant population of the most vulnerable groups. Likewise, the empowerment of girls, adolescents and women should be part of the migration policy of all countries.</v>
          </cell>
          <cell r="X10" t="str">
            <v>Plan International Peru internal gender evaluation</v>
          </cell>
          <cell r="Y10" t="str">
            <v>4</v>
          </cell>
          <cell r="Z10" t="str">
            <v>2</v>
          </cell>
          <cell r="AA10" t="str">
            <v>W G B</v>
          </cell>
          <cell r="AB10" t="str">
            <v>YC CH AD YA</v>
          </cell>
          <cell r="AC10" t="str">
            <v>Plan International internal policy prioritize assistance to girls, boys and young people, recognizing them as the most vulenrable groups and the ones in which PI has created wide experience and methodologies to work, engage and empower them in the different projects that we implement.
In our interventions, needs analysis orientated to boys, girls and adolescents, with a strong gender scope are always implemented as a first step in the implementation process, minorities, in this case venezuelans, are also included and extensive work has been developed with them in Peru in rural, urban, transit and border areas.</v>
          </cell>
          <cell r="AD10" t="str">
            <v>Plan International Internal Policies</v>
          </cell>
          <cell r="AE10" t="str">
            <v>4</v>
          </cell>
          <cell r="AF10" t="str">
            <v>1 3 4</v>
          </cell>
          <cell r="AG10" t="str">
            <v>W G B</v>
          </cell>
          <cell r="AH10" t="str">
            <v>YC CH AD YA</v>
          </cell>
          <cell r="AI10" t="str">
            <v>Needs analysis imply the gathering of information that comes directly for potential beneficiaries, in our projects, a prefeasibility evaluation is carry out where one of the most important inputs is the opinion of our target population who comes true participative methodologies.
In the experience of Venezuelan response, kits that are being delivered in Tumbes were adapted in the process of the intervention because it was found that some of the items were not ideally designed and some other could have a better use, in this example, classical clothing kits were adapted to underwear clothing for boys ans girls kits because it was found, via a survey and dynamics stablished at out CFS, that this was an urgent need that was not being covered</v>
          </cell>
          <cell r="AJ10" t="str">
            <v>Internal Analysis</v>
          </cell>
          <cell r="AK10" t="str">
            <v>4</v>
          </cell>
          <cell r="AL10" t="str">
            <v>3 2</v>
          </cell>
          <cell r="AM10" t="str">
            <v>W G B</v>
          </cell>
          <cell r="AN10" t="str">
            <v>YC CH AD YA</v>
          </cell>
          <cell r="AO10" t="str">
            <v>Satisfaction surveys that imply the posibility of adapting was is being provided will be made during the implementation process, products or items that will be delivered will be, where possible, monitored to check that an adequate use is being given</v>
          </cell>
          <cell r="AP10" t="str">
            <v>Internal Analysis</v>
          </cell>
          <cell r="AQ10" t="str">
            <v>4</v>
          </cell>
          <cell r="AR10" t="str">
            <v>4</v>
          </cell>
          <cell r="AS10" t="str">
            <v>M</v>
          </cell>
          <cell r="DG10">
            <v>0</v>
          </cell>
          <cell r="DH10" t="str">
            <v>4M</v>
          </cell>
          <cell r="DI10" t="str">
            <v>4 (M)</v>
          </cell>
          <cell r="DJ10" t="str">
            <v>submitted_via_web</v>
          </cell>
          <cell r="DK10" t="str">
            <v>2019-09-26</v>
          </cell>
          <cell r="DL10" t="str">
            <v>2019-09-27T17:16:43</v>
          </cell>
          <cell r="DM10">
            <v>69398160</v>
          </cell>
          <cell r="DN10" t="str">
            <v>ef131811-4376-4176-828c-07627a93812b</v>
          </cell>
          <cell r="DO10" t="str">
            <v>ee.humanitarianresponse.info:QVG7tKaZo8ugsBfM</v>
          </cell>
          <cell r="DP10" t="str">
            <v>vp86QYmujSsq9anoBGtGAw</v>
          </cell>
        </row>
        <row r="11">
          <cell r="T11" t="str">
            <v>1</v>
          </cell>
          <cell r="U11" t="str">
            <v>G B</v>
          </cell>
          <cell r="V11" t="str">
            <v>CH AD</v>
          </cell>
          <cell r="W11" t="str">
            <v>Girls and women are particularly exposed to sexual exploitation and sexual violence , mainly unaccompanied adolescents and young females travelling alone. A survey to Venezuelans women and adolescents, conducted by CEPAZ, revealed that most are stigmatized as “provocative” and “sex objects”. As consequence, Venezuelan women and girls are suffering of double discrimination, compared to males, as they are perceived as causing male infidelity and as members of sexual work networks. Moreover, the report denounced that most of the Venezuelan females are exposed abusive medical examinations, involving nudity, or forced sex with a truck driver, in exchange for a ticket, among other forms of violence during their journey as refugees and migrants . On the other hand, interviews and FGD conducted by our staff in the field along the countries have evidenced numerous cases of physical, and even sexual, violence exercised by local authorities.</v>
          </cell>
          <cell r="X11" t="str">
            <v>Plan International, Venezuela Regional Strategy</v>
          </cell>
          <cell r="Y11" t="str">
            <v>4</v>
          </cell>
          <cell r="Z11" t="str">
            <v>2</v>
          </cell>
          <cell r="AA11" t="str">
            <v>G B</v>
          </cell>
          <cell r="AB11" t="str">
            <v>CH AD</v>
          </cell>
          <cell r="AC11" t="str">
            <v>Plan International will lead a research conducted in Colombia, Ecuador, Peru. It will explore how adolescent girls within two age brackets (10-14 and 15-19) understand the unique impact the Venezuela crisis has upon them, and how they have responded to the challenges they face.
The second research will fill evidence gaps about what works to integrate venezuelians refugee and migrant children into the education systems and provide recommendations to improve acess and retention, focused on girls</v>
          </cell>
          <cell r="AD11" t="str">
            <v>Research ToR under elaboration</v>
          </cell>
          <cell r="AE11" t="str">
            <v>4</v>
          </cell>
          <cell r="AF11" t="str">
            <v>1 2 4</v>
          </cell>
          <cell r="AG11" t="str">
            <v>G B</v>
          </cell>
          <cell r="AH11" t="str">
            <v>CH AD</v>
          </cell>
          <cell r="AI11" t="str">
            <v>Research methodology will consider affected children and adolescents -  focused on girls - as main source of information and consultation to provide recomendations</v>
          </cell>
          <cell r="AJ11" t="str">
            <v>Research ToR under elaboration</v>
          </cell>
          <cell r="AK11" t="str">
            <v>4</v>
          </cell>
          <cell r="AL11" t="str">
            <v>0</v>
          </cell>
          <cell r="AQ11" t="str">
            <v>0</v>
          </cell>
          <cell r="AR11" t="str">
            <v>4</v>
          </cell>
          <cell r="AS11" t="str">
            <v>M</v>
          </cell>
          <cell r="DG11">
            <v>0</v>
          </cell>
          <cell r="DH11" t="str">
            <v>4M</v>
          </cell>
          <cell r="DI11" t="str">
            <v>4 (M)</v>
          </cell>
          <cell r="DJ11" t="str">
            <v>submitted_via_web</v>
          </cell>
          <cell r="DK11" t="str">
            <v>2019-09-25</v>
          </cell>
          <cell r="DL11" t="str">
            <v>2019-09-27T00:36:01</v>
          </cell>
          <cell r="DM11">
            <v>69318381</v>
          </cell>
          <cell r="DN11" t="str">
            <v>85e03483-4a95-4b5c-b702-5c93a52043ff</v>
          </cell>
          <cell r="DO11" t="str">
            <v>ee.humanitarianresponse.info:RIUVAWH1DCPSWMPp</v>
          </cell>
          <cell r="DP11" t="str">
            <v>vp86QYmujSsq9anoBGtGAw</v>
          </cell>
        </row>
        <row r="12">
          <cell r="T12" t="str">
            <v>1</v>
          </cell>
          <cell r="U12" t="str">
            <v>W G B M D</v>
          </cell>
          <cell r="V12" t="str">
            <v>YC CH AD YA MA OA</v>
          </cell>
          <cell r="W12" t="str">
            <v>El presente documento ha tenido como objetivo central el estudio del funcionamiento de EsSalud y los desafíos para que esta institución se articule con el resto del sistema de salud del Perú en el cumplimiento de los objetivos vinculados con el logro de la cobertura universal de los servicios de salud. En consecuencia, los diferentes aspectos analizados han debido tomar como referencia el funcionamiento del sistema de salud peruano en su totalidad. 
El papel de EsSalud en la política de cobertura universal incluye el fortalecimiento de las acciones tendientes a dar efectiva cobertura a los hogares de los trabajadores formales y de todos aquellos que poseen capacidad contributiva. Solo de esta manera se podrá liberar espacio fiscal para que el Estado pueda subsidiar los sectores que presentan escasa capacidad de pago. Por otra parte,
debería evaluarse de manera conjunta con las autoridades de los Ministerios de Salud y de Economía y Finanzas la conveniencia de introducir algún esquema tributario especial con el propósito de atender la situación de los pequeños contribuyentes y de los trabajadores informales con capacidad de pago que, hasta el momento, se encuentran fuera de la economía formal.</v>
          </cell>
          <cell r="X12" t="str">
            <v>EL SISTEMA DE SALUD DEL PERÚ: situación actual y estrategias para orientar la extensión de la cobertura contributiva. http://bvs.minsa.gob.pe/local/MINSA/2401.pdf</v>
          </cell>
          <cell r="Y12" t="str">
            <v>4</v>
          </cell>
          <cell r="Z12" t="str">
            <v>2</v>
          </cell>
          <cell r="AA12" t="str">
            <v>EQA</v>
          </cell>
          <cell r="AB12" t="str">
            <v>YC CH AD YA MA OA</v>
          </cell>
          <cell r="AC12" t="str">
            <v>La asstencia que se brinda promueve los Derechos en Salud de las y los usuarios, incluidos las y los Venezolanos que vienen con enfermedades cronicas y de elevado costo, esto con la finalidad de proteger el Derecho a la Vida Digna.</v>
          </cell>
          <cell r="AD12" t="str">
            <v>Guíame a mis derechos Guía Práctica para el Ejercicio y la Promoción de Derechos y Deberes en Salud. http://portal.susalud.gob.pe/jus-arequipa/wp-content/uploads/jus/arequipa/deberes-derechos/Gu%C3%ADame%20a%20mis%20Derechos.pdf</v>
          </cell>
          <cell r="AE12" t="str">
            <v>2</v>
          </cell>
          <cell r="AF12" t="str">
            <v>1 2</v>
          </cell>
          <cell r="AG12" t="str">
            <v>W G B M D</v>
          </cell>
          <cell r="AH12" t="str">
            <v>AD YA MA</v>
          </cell>
          <cell r="AI12" t="str">
            <v>Es importante poder enriquecer la intervencion en salud con la participacion de la comunidad afectad, simplemente por un principio de horizontalidad en el dialogo politico para el monitoreo de la calidad de los servicios que brinda el estado peruano tanto para extranjeros como nacionales.</v>
          </cell>
          <cell r="AJ12" t="str">
            <v>Derechos Sexuales y Reproductivos de Adolescentes en el Perú. Cuáles son, cómo se garantizan y cuál es la agenda pendiente. http://www2.congreso.gob.pe/Sicr/Comisiones/2007/ComRevNinAdo.nsf/34069c3bb71c123b05256f470062fea7/0D6D6B97B9CA349905257466006941F6/$FILE/INNOVANDO-DerechosSexualesReproductivos.pdf</v>
          </cell>
          <cell r="AK12" t="str">
            <v>4</v>
          </cell>
          <cell r="AL12" t="str">
            <v>3</v>
          </cell>
          <cell r="AM12" t="str">
            <v>W G B M D</v>
          </cell>
          <cell r="AN12" t="str">
            <v>YC CH AD YA MA OA</v>
          </cell>
          <cell r="AO12" t="str">
            <v>Numero de reportes presentados a la Defensoria del Pueblo y SUSALUD sobre la calidad de la atencion de pacientes y usuarios del sistema de salud</v>
          </cell>
          <cell r="AP12" t="str">
            <v>Camino al Aseguramiento Universal en Salud (AUS) Resultados de la supervisión nacional a hospitales. https://www.defensoria.gob.pe/wp-content/uploads/2018/05/informe-161.pdf</v>
          </cell>
          <cell r="AQ12" t="str">
            <v>4</v>
          </cell>
          <cell r="AR12" t="str">
            <v>4</v>
          </cell>
          <cell r="AS12" t="str">
            <v>M</v>
          </cell>
          <cell r="DG12">
            <v>0</v>
          </cell>
          <cell r="DH12" t="str">
            <v>4M</v>
          </cell>
          <cell r="DI12" t="str">
            <v>4 (M)</v>
          </cell>
          <cell r="DJ12" t="str">
            <v>submitted_via_web</v>
          </cell>
          <cell r="DK12" t="str">
            <v>2019-10-01</v>
          </cell>
          <cell r="DL12" t="str">
            <v>2019-10-02T15:18:58</v>
          </cell>
          <cell r="DM12">
            <v>69909411</v>
          </cell>
          <cell r="DN12" t="str">
            <v>4cf6f58a-ded4-4c19-873d-43cc2b119c13</v>
          </cell>
          <cell r="DO12" t="str">
            <v>ee.humanitarianresponse.info:ypvdYGMAb9Bb4OEr</v>
          </cell>
          <cell r="DP12" t="str">
            <v>vp86QYmujSsq9anoBGtGAw</v>
          </cell>
        </row>
        <row r="13">
          <cell r="T13" t="str">
            <v>1</v>
          </cell>
          <cell r="U13" t="str">
            <v>W G B M</v>
          </cell>
          <cell r="V13" t="str">
            <v>CH AD YA MA</v>
          </cell>
          <cell r="W13" t="str">
            <v>En la actividad de INTEGRACIÓN se ha priorizado que por lo menos un 50% de los beneficiarios sean mujeres. Las mujeres tendrán acceso a la capacitación, asistencia técnica y capital semilla. En la actividad de EDUCACIÓN se ha priorizado la atención de niños y niñas de nivel primario para lograr su nivelación o actualización escolar, y asegurar su matrícula escolar para el 2020. En la actividad de PROTECCIÓN se priorizara la atención de las mujeres migrantes más vulnerables (gestantes, lactantes, discapacitadas, enfermas, con hijos pequeños). En la actividad de VBG la prioridad estará en la prevención de la violencia hacia las mujeres migrantes, así como en el apoyo a las mujeres supervivientes de violencia.</v>
          </cell>
          <cell r="X13" t="str">
            <v>Diagnostico Social de cada Proyecto</v>
          </cell>
          <cell r="Y13" t="str">
            <v>4</v>
          </cell>
          <cell r="Z13" t="str">
            <v>1</v>
          </cell>
          <cell r="AA13" t="str">
            <v>W G B M</v>
          </cell>
          <cell r="AB13" t="str">
            <v>CH AD YA MA</v>
          </cell>
          <cell r="AC13" t="str">
            <v>Las diferentes actividades se adecuan tanto a hombres como a mujeres. Asimismo, se ha considerado los grupos de menores de edad (niños y niñas) como es en el caso de las actividades de Educación, Protección y VBG; y mayores de edad (hombres y mujeres mayores de 18 años) como es en el caso de las actividades de Protección, VBG, Seguridad Alimentaria e Integración. Se trabajara tanto con los migrantes venezolanos como con la comunidad de acogida. En el caso de la actividad de VBG se tendrá como base de la intervención la comunidad de acogida constituida por las Asociaciones Comunales de Mujeres Emprendedoras, las cuales servirán de contacto y referentes a las mujeres migrantes.</v>
          </cell>
          <cell r="AD13" t="str">
            <v>Componentes y Actividades del Proyecto</v>
          </cell>
          <cell r="AE13" t="str">
            <v>4</v>
          </cell>
          <cell r="AF13" t="str">
            <v>1 2</v>
          </cell>
          <cell r="AG13" t="str">
            <v>W G B M</v>
          </cell>
          <cell r="AH13" t="str">
            <v>CH AD YA MA</v>
          </cell>
          <cell r="AI13" t="str">
            <v>Durante la fase de diseño de las actividades se han realizado encuestas y entrevistas a migrantes venezolanos tanto en Tumbes como en Lima. Esto ha permitido adaptar las estrategias y actividades para cubrir las necesidades más sentidas de los afectados. Durante la ejecución de las actividades se promoverá su participación en el seguimiento y evaluación de las actividades. En los periodos de evaluación trimestral se hará participar a los beneficiarios por género y por edad, lo cual será un aprendizaje directo y referente para los ajustes o cambios que sean necesarios aplicar al proyecto.</v>
          </cell>
          <cell r="AJ13" t="str">
            <v>Monitoreo y Evaluación del Proyecto</v>
          </cell>
          <cell r="AK13" t="str">
            <v>4</v>
          </cell>
          <cell r="AL13" t="str">
            <v>3 2</v>
          </cell>
          <cell r="AM13" t="str">
            <v>W G B M</v>
          </cell>
          <cell r="AN13" t="str">
            <v>CH AD YA MA</v>
          </cell>
          <cell r="AO13" t="str">
            <v>	Número de individuos alcanzados con apoyo para iniciativas de autoempleo o emprendimiento.
Los migrantes y comunidad de acogida reciben capacitación, asistencia técnica y capital semilla para iniciar y/o fortalecer sus pequeños negocios.
	Número de niños en edad escolar (niños y niñas) de Venezuela inscritos en instituciones educativas apoyadas y escuelas nacionales
Los niños y niñas migrantes, y de la comunidad de acogida se matriculan en el año escolar 2020.
	Número de individuos que recibieron servicios de protección (excluyendo servicios legales)
Los migrantes y comunidad de acogida reciben asistencia directa o referencia, apoyo psicosocial, prevención de violencia y apoyo a supervivientes de violencia.
	Número de personas capacitadas en prevención y respuesta de VBG
Se promueve la igualdad de género y el empoderamiento de los migrantes y comunidad de acogida a través del fortalecimiento de la prevención y respuesta de VBG por parte de actores estatales y privados.</v>
          </cell>
          <cell r="AP13" t="str">
            <v>Plan de Monitoreo y Evaluación del Proyecto</v>
          </cell>
          <cell r="AQ13" t="str">
            <v>4</v>
          </cell>
          <cell r="AR13" t="str">
            <v>4</v>
          </cell>
          <cell r="AS13" t="str">
            <v>M</v>
          </cell>
          <cell r="DG13">
            <v>0</v>
          </cell>
          <cell r="DH13" t="str">
            <v>4M</v>
          </cell>
          <cell r="DI13" t="str">
            <v>4 (M)</v>
          </cell>
          <cell r="DJ13" t="str">
            <v>submitted_via_web</v>
          </cell>
          <cell r="DK13" t="str">
            <v>2019-09-25</v>
          </cell>
          <cell r="DL13" t="str">
            <v>2019-09-26T22:15:01</v>
          </cell>
          <cell r="DM13">
            <v>69315253</v>
          </cell>
          <cell r="DN13" t="str">
            <v>983dec0e-55bd-4d7e-b665-4e1ab7afd8ff</v>
          </cell>
          <cell r="DO13" t="str">
            <v>ee.humanitarianresponse.info:DqikmG8My3zVTwsn</v>
          </cell>
          <cell r="DP13" t="str">
            <v>vp86QYmujSsq9anoBGtGAw</v>
          </cell>
        </row>
        <row r="14">
          <cell r="T14" t="str">
            <v>1</v>
          </cell>
          <cell r="U14" t="str">
            <v>W G B</v>
          </cell>
          <cell r="V14" t="str">
            <v>CH AD YA MA</v>
          </cell>
          <cell r="W14" t="str">
            <v>Conscientes de que las desigualdades de género afectan más a niñas, niños y adolescentes, el Documento de Programa País del PNUD plantea de forma trasnversal la incorporación del enfoque de género en los proyectos para que tengan al menos 2 en el marcador de género. Es el caso de los proyectos vinculados a la migración, los mismos parten del reconocimiento de las vulnerabilidades intrínsecas de las personas en movilidad humana, las mismas que se agudizan en contextos de desigualdad, machismo, pobreza o exclusión, afectando las posibilidades de desarrollo de mujeres, niñas, niños y adolescentes.</v>
          </cell>
          <cell r="X14" t="str">
            <v>http://www.pe.undp.org/content/peru/es/home/library/democratic_governance/documento-programa-pais-2017-20210.html</v>
          </cell>
          <cell r="Y14" t="str">
            <v>4</v>
          </cell>
          <cell r="Z14" t="str">
            <v>2</v>
          </cell>
          <cell r="AA14" t="str">
            <v>W G B</v>
          </cell>
          <cell r="AB14" t="str">
            <v>CH AD YA</v>
          </cell>
          <cell r="AC14" t="str">
            <v>Los resultados de la Encuesta de Población Venezolana - ENPOVE 2018, muestra las necesidades respecto a la integración, y se pone en evidencia la presencia de mayor población en edad de trabajar (72% entre 18 y 44 años), personas de menos de 18 años que no acceden al sistema educativo y diferencias en los ingresos entre hombres y mujeres, en detrimento de las últimas. El 36% ha experimentado un hecho de discriminación.  Por lo tanto, el proyecto considera la promoción diferenciada de herramientas para medios de vida dirigidos a jóvenes, adultos y mujeres. Por otro lado, considera la generación de espacios de participación e integración en las ciudades considerando a niñas y niños pequeños, niños, adolescentes, mujeres, jóvenes y adultos y promoviendo la integración de la población peruana y venezolana en todos los espacios. Para darle sostenibilidad, la gestión territorial será la base de las acciones.</v>
          </cell>
          <cell r="AD14" t="str">
            <v>https://www.inei.gob.pe/media/MenuRecursivo/boletines/enpove-2018.pdf</v>
          </cell>
          <cell r="AE14" t="str">
            <v>4</v>
          </cell>
          <cell r="AF14" t="str">
            <v>1 2 4</v>
          </cell>
          <cell r="AG14" t="str">
            <v>W M</v>
          </cell>
          <cell r="AH14" t="str">
            <v>AD YA MA</v>
          </cell>
          <cell r="AI14" t="str">
            <v>El proyecto considera una fase de revisión del diseño para los ajustes necesarios en función de diagnósticos rápidos de los contextos locales. La construcción final de las actividades se hacen de la mano de organizaciones comunales, iniciativas independientes u líderes locales, para insertar su visión del territorio, empoderarles e incorporar ideas innovadoras de grupos de jóvenes, adultos y mujeres. Principalmente se buscar transversalizar la lucha contra la violencia basada en género, la sensibilización en torno al cambio climático y la innovación en las intervenciones asociadas a la gestión territorial migratoria, la promoción de medios de vida sostenibles y la integración sociocultural.</v>
          </cell>
          <cell r="AJ14" t="str">
            <v>http://www.pe.undp.org/content/peru/es/home/library/democratic_governance/documento-programa-pais-2017-20210.html</v>
          </cell>
          <cell r="AK14" t="str">
            <v>4</v>
          </cell>
          <cell r="AL14" t="str">
            <v>3 2</v>
          </cell>
          <cell r="AM14" t="str">
            <v>W G B M</v>
          </cell>
          <cell r="AN14" t="str">
            <v>CH AD YA MA</v>
          </cell>
          <cell r="AO14" t="str">
            <v>Número de personas beneficiadas con los programas de capacitación e intermediación laboral, considerando sexo.
Porcentaje de participación de la comunidad peruana y venezolana en actividades comunitarias, considerando sexo.
Los indicadores de servicios relevantes son medidos principalmente a partir de los registros de participación en las actividades. Además, el impacto de las acciones que no son de entrega directa, sino de fortalecimiento de la gestión territorial de la migración, se medirán con indicadores relativos a las herramientas generadas o a los espacios creados para la gestión local.</v>
          </cell>
          <cell r="AP14" t="str">
            <v>Documento de Proyecto de Oportunidades sin Fronteras</v>
          </cell>
          <cell r="AQ14" t="str">
            <v>4</v>
          </cell>
          <cell r="AR14" t="str">
            <v>4</v>
          </cell>
          <cell r="AS14" t="str">
            <v>M</v>
          </cell>
          <cell r="DG14">
            <v>0</v>
          </cell>
          <cell r="DH14" t="str">
            <v>4M</v>
          </cell>
          <cell r="DI14" t="str">
            <v>4 (M)</v>
          </cell>
          <cell r="DJ14" t="str">
            <v>submitted_via_web</v>
          </cell>
          <cell r="DK14" t="str">
            <v>2019-09-26</v>
          </cell>
          <cell r="DL14" t="str">
            <v>2019-09-27T22:14:11</v>
          </cell>
          <cell r="DM14">
            <v>69415883</v>
          </cell>
          <cell r="DN14" t="str">
            <v>5c5304cb-828b-400a-ac89-8b26f8b84320</v>
          </cell>
          <cell r="DO14" t="str">
            <v>ee.humanitarianresponse.info:crOcEGhQXTKk9weV</v>
          </cell>
          <cell r="DP14" t="str">
            <v>vp86QYmujSsq9anoBGtGAw</v>
          </cell>
        </row>
        <row r="15">
          <cell r="T15" t="str">
            <v>2</v>
          </cell>
          <cell r="U15" t="str">
            <v>W G B M</v>
          </cell>
          <cell r="V15" t="str">
            <v>YC YA MA OA</v>
          </cell>
          <cell r="W15" t="str">
            <v>Los roles culturalmente asignados para la crianza y cuidados de las niñas y niños, es asignado a las mujeres, desde el proyecto se pretende vincular al varón en el cuidado cercano y tierno de la niñez; rompiendo con las relaciones basadas en el dominio-sumisión del varón a la mujer y los estereotipos asignados a cada uno de los géneros. Este análisis considera que los niños necesitan de la proximidad afectiva y de cuidado, de sus cuidadores hombres y mujeres. Las mujeres necesitan el involucramiento de sus parejas en el cuidado cercano de la niñez; que a la vez ayude a reducir expresiones de violencia de género en las relaciones familiares. Los hombres necesitan construir nuevas masculinidades, que les permitan asumir un rol de cuidadores cercano y tierno hacia la niñez.</v>
          </cell>
          <cell r="X15" t="str">
            <v>Cadena perpetua a la violencia. Investigación acción participativa en protección de la niñez, es una publicación de World Vision Perú.</v>
          </cell>
          <cell r="Y15" t="str">
            <v>4</v>
          </cell>
          <cell r="Z15" t="str">
            <v>2</v>
          </cell>
          <cell r="AA15" t="str">
            <v>W G B M</v>
          </cell>
          <cell r="AB15" t="str">
            <v>YC CH AD YA</v>
          </cell>
          <cell r="AC15" t="str">
            <v>El proyecto incluye la participación de infantes con algún tipo de discapacidad sea física, motora o cognitiva; siempre y cuando no sean discapacidades severas que necesitan de intervenciones especializadas.</v>
          </cell>
          <cell r="AD15" t="str">
            <v>Narrativo del concepto del proyecto</v>
          </cell>
          <cell r="AE15" t="str">
            <v>4</v>
          </cell>
          <cell r="AF15" t="str">
            <v>1</v>
          </cell>
          <cell r="AG15" t="str">
            <v>W M</v>
          </cell>
          <cell r="AH15" t="str">
            <v>YA MA OA</v>
          </cell>
          <cell r="AI15" t="str">
            <v>Padres y madres participan de la gestión autosostenible del proyecto tomando en cuenta su retroalimentación a las acciones del proyecto, así como en el involucramiento en las actividades.</v>
          </cell>
          <cell r="AJ15" t="str">
            <v>Narrativo del concepto del proyecto</v>
          </cell>
          <cell r="AK15" t="str">
            <v>4</v>
          </cell>
          <cell r="AL15" t="str">
            <v>1</v>
          </cell>
          <cell r="AM15" t="str">
            <v>W G B M</v>
          </cell>
          <cell r="AN15" t="str">
            <v>YC CH YA MA OA</v>
          </cell>
          <cell r="AO15" t="str">
            <v>% de desnutrición crónica en niños y niñas menores de 5 años de edad en el ámbito de intervención
% de la prevalencia de anemia en niños y niñas entre 6 y 59 meses de edad en el ámbito de intervención
% de niñas y niños de 0 a 5 años de edad con niveles aceptables de desarrollo de lenguaje, motriz y socioemocional de acuerdo a su edad.
% de familias que han mejorado sus prácticas de crianza en sus niñas y niños de 0 a 5 años de edad.
% de niñas y niños de 0 a 5 años de edad mejoran su desarrollo autónomo.</v>
          </cell>
          <cell r="AP15" t="str">
            <v>Narrativo del concepto del proyecto</v>
          </cell>
          <cell r="AQ15" t="str">
            <v>0</v>
          </cell>
          <cell r="AR15" t="str">
            <v>4</v>
          </cell>
          <cell r="AS15" t="str">
            <v>M</v>
          </cell>
          <cell r="DG15">
            <v>0</v>
          </cell>
          <cell r="DH15" t="str">
            <v>4M</v>
          </cell>
          <cell r="DI15" t="str">
            <v>4 (M)</v>
          </cell>
          <cell r="DJ15" t="str">
            <v>submitted_via_web</v>
          </cell>
          <cell r="DK15" t="str">
            <v>2019-09-26</v>
          </cell>
          <cell r="DL15" t="str">
            <v>2019-09-27T21:02:58</v>
          </cell>
          <cell r="DM15">
            <v>69413966</v>
          </cell>
          <cell r="DN15" t="str">
            <v>4cd1d9a6-a150-40c3-a0aa-7a3fdcccf5c2</v>
          </cell>
          <cell r="DO15" t="str">
            <v>ee.humanitarianresponse.info:bG2MItWYMM7hBDUC</v>
          </cell>
          <cell r="DP15" t="str">
            <v>vp86QYmujSsq9anoBGtGAw</v>
          </cell>
        </row>
        <row r="16">
          <cell r="T16" t="str">
            <v>2</v>
          </cell>
          <cell r="U16" t="str">
            <v>W M D</v>
          </cell>
          <cell r="V16" t="str">
            <v>YA MA OA</v>
          </cell>
          <cell r="W16" t="str">
            <v>Se incorpora el enfoque de género en la estrategia de promoción de la integración socioeconómica (está en desarrollo en este momento). Las mujeres de los países de acogida, en el mercado laboral, son afectadas por brechas importantes que se replican con la población femenina refugiada y migrante y que se puede ver profundizada por la vulnerabilidad en que muchas se encuentran. Ello demanda la aplicación de medidas adicionales de protección y de acciones afirmativas.</v>
          </cell>
          <cell r="X16" t="str">
            <v>Estrategia de integración socioeconómica de refugiados y migrantes venezolanos.</v>
          </cell>
          <cell r="Y16" t="str">
            <v>4</v>
          </cell>
          <cell r="Z16" t="str">
            <v>3</v>
          </cell>
          <cell r="AA16" t="str">
            <v>W M D</v>
          </cell>
          <cell r="AB16" t="str">
            <v>AD YA MA OA</v>
          </cell>
          <cell r="AC16" t="str">
            <v>Desde los programas de promoción de la empleabilidad se estará promoviendo la inclusión de personas con discapacidades y poblaciones con distintos géneros, lo que demandará verificar que los programas que se desarrollen y los requisitos que se establezcan para su ingreso, no contengan limitantes frente a estas categorías y permitan identificar si algún grupo ve obstaculizado su ingreso por razones de género.</v>
          </cell>
          <cell r="AD16" t="str">
            <v>Estrategia de integración socioeconómica de refugiados y migrantes venezolanos</v>
          </cell>
          <cell r="AE16" t="str">
            <v>4</v>
          </cell>
          <cell r="AF16" t="str">
            <v>1 2</v>
          </cell>
          <cell r="AG16" t="str">
            <v>W M D</v>
          </cell>
          <cell r="AH16" t="str">
            <v>AD YA MA OA</v>
          </cell>
          <cell r="AI16" t="str">
            <v>Únicamente se incluyen personas adolescentes con la edad mínima de admisión al empleo y toda persona adulta trabajadora o que busca empleo.</v>
          </cell>
          <cell r="AJ16" t="str">
            <v>Estrategia de integración socioeconómica de refugiados y migrantes venezolanos.</v>
          </cell>
          <cell r="AK16" t="str">
            <v>4</v>
          </cell>
          <cell r="AL16" t="str">
            <v>3 2</v>
          </cell>
          <cell r="AM16" t="str">
            <v>W SGI</v>
          </cell>
          <cell r="AN16" t="str">
            <v>AD YA MA</v>
          </cell>
          <cell r="AO16" t="str">
            <v>Seguimiento a la impelementación de la estrategia por medio de las plataformas nacionales.</v>
          </cell>
          <cell r="AP16" t="str">
            <v>Recopilación de buenas prácticas y experiencias exitosas e integración socioeconómica en los países de acogida de la región.</v>
          </cell>
          <cell r="AQ16" t="str">
            <v>2</v>
          </cell>
          <cell r="AR16" t="str">
            <v>4</v>
          </cell>
          <cell r="AS16" t="str">
            <v>T</v>
          </cell>
          <cell r="DG16">
            <v>0</v>
          </cell>
          <cell r="DH16" t="str">
            <v>4T</v>
          </cell>
          <cell r="DI16" t="str">
            <v>4 (T)</v>
          </cell>
          <cell r="DJ16" t="str">
            <v>submitted_via_web</v>
          </cell>
          <cell r="DK16" t="str">
            <v>2019-09-25</v>
          </cell>
          <cell r="DL16" t="str">
            <v>2019-09-26T21:42:53</v>
          </cell>
          <cell r="DM16">
            <v>69314402</v>
          </cell>
          <cell r="DN16" t="str">
            <v>b322b0b5-b68c-4cd8-b90f-3e9c6f8bdbe8</v>
          </cell>
          <cell r="DO16" t="str">
            <v>ee.humanitarianresponse.info:fttEHVI5gAvZUerL</v>
          </cell>
          <cell r="DP16" t="str">
            <v>vp86QYmujSsq9anoBGtGAw</v>
          </cell>
        </row>
        <row r="17">
          <cell r="T17" t="str">
            <v>0</v>
          </cell>
          <cell r="W17" t="str">
            <v>No se ha todavía ejecutado el análisis de género. Sin embargo, la propuesta ha sido elaborada según los lineamientos establecidos en la política de genero de Coopi.</v>
          </cell>
          <cell r="X17" t="str">
            <v>https://www.coopi.org/uploads/home/15b3e12a98de30.pdf</v>
          </cell>
          <cell r="Y17" t="str">
            <v>0</v>
          </cell>
          <cell r="Z17" t="str">
            <v>3</v>
          </cell>
          <cell r="AA17" t="str">
            <v>W G B M D</v>
          </cell>
          <cell r="AB17" t="str">
            <v>CH AD YA MA OA</v>
          </cell>
          <cell r="AC17" t="str">
            <v>La mayoría de los servicios atienden de forma individual y por ende están en la capacidad de adaptarse a medidas de las necesidades específicas de cada persona (en particular en referencia al género y a las diferentes edades).</v>
          </cell>
          <cell r="AD17" t="str">
            <v>N/A</v>
          </cell>
          <cell r="AE17" t="str">
            <v>4</v>
          </cell>
          <cell r="AF17" t="str">
            <v>3 4</v>
          </cell>
          <cell r="AG17" t="str">
            <v>W M D</v>
          </cell>
          <cell r="AH17" t="str">
            <v>AD YA MA OA</v>
          </cell>
          <cell r="AI17" t="str">
            <v>En las actividades de asistencia individual es el caso específico a determinar las acciones correspondientes. Por ende, se cuenta con la necesaria flexibilidad de adaptación. En las actividades colectivas se pondrá en marcha los procedimientos de rendición de cuenta presentes en todos los proyectos de Coopi alrededor del mundo.</v>
          </cell>
          <cell r="AJ17" t="str">
            <v>N/A</v>
          </cell>
          <cell r="AK17" t="str">
            <v>4</v>
          </cell>
          <cell r="AL17" t="str">
            <v>3</v>
          </cell>
          <cell r="AM17" t="str">
            <v>W G B M</v>
          </cell>
          <cell r="AN17" t="str">
            <v>CH AD YA MA OA</v>
          </cell>
          <cell r="AO17" t="str">
            <v>Número de niños, niñas (&lt;18), mujeres y hombres: asistidos con asistencia legal (asistencia, representación y / o asesoramiento); asistidos a través de espacios de apoyo; 
Número de hombres y mujeres: alcanzados con apoyo para iniciativas de autoempleo o emprendimiento.
Medios de verificación: encuestas de satisfacción, numero de microemprendimientos legalmente registrados, número de casos tratados e informe final de atención.</v>
          </cell>
          <cell r="AP17" t="str">
            <v>N/A</v>
          </cell>
          <cell r="AQ17" t="str">
            <v>4</v>
          </cell>
          <cell r="AR17" t="str">
            <v>4</v>
          </cell>
          <cell r="AS17" t="str">
            <v>T</v>
          </cell>
          <cell r="DG17">
            <v>0</v>
          </cell>
          <cell r="DH17" t="str">
            <v>4T</v>
          </cell>
          <cell r="DI17" t="str">
            <v>4 (T)</v>
          </cell>
          <cell r="DJ17" t="str">
            <v>submitted_via_web</v>
          </cell>
          <cell r="DK17" t="str">
            <v>2019-09-26</v>
          </cell>
          <cell r="DL17" t="str">
            <v>2019-09-26T21:17:08</v>
          </cell>
          <cell r="DM17">
            <v>69313564</v>
          </cell>
          <cell r="DN17" t="str">
            <v>4d2a1396-6b81-431a-a85a-58f6b167bcbf</v>
          </cell>
          <cell r="DO17" t="str">
            <v>ee.humanitarianresponse.info:5P2eLqtWeqLn01lH</v>
          </cell>
          <cell r="DP17" t="str">
            <v>vp86QYmujSsq9anoBGtGAw</v>
          </cell>
        </row>
        <row r="18">
          <cell r="T18" t="str">
            <v>2</v>
          </cell>
          <cell r="U18" t="str">
            <v>W G B M D</v>
          </cell>
          <cell r="V18" t="str">
            <v>YC CH AD YA MA</v>
          </cell>
          <cell r="W18" t="str">
            <v>La migracion forzada de Venzolanos evidencia una gran vulnerabilidad basada en el genero, siendo las mujeres un grupo visible en entornos de acoso sexual y abuso, trata y explotacion sexual, sin embargo las mujeres transgeneros enfrentan un nivel doble de vulnerabilidad basada en su identidad, sometida a la violencia y al trabajo sexual en entornos donde las infecciones de transmision sexual, el VIH/SIDA podrian estar afectando sus derechos sexuales, otro grupor vulnerable son los hombres transgeneros cuya genitalidad es de mujer (vulva y vagina) sin embargo su identidad adoptada de varon la expone a la violencia sexual, por considerarla como transgresora de los estereotipos de genero que adoptan varones y mujeres</v>
          </cell>
          <cell r="X18" t="str">
            <v>VIOLENCIA BASADA EN GÉNERO, MARCO CONCEPTUAL PARA LAS POLITICAS PUBLICAS Y ACCION DEL ESTADO https://www.mimp.gob.pe/files/direcciones/dgcvg/mimp-marco-conceptual-violencia-basada-en-genero.pdf</v>
          </cell>
          <cell r="Y18" t="str">
            <v>4</v>
          </cell>
          <cell r="Z18" t="str">
            <v>3</v>
          </cell>
          <cell r="AA18" t="str">
            <v>W G M D</v>
          </cell>
          <cell r="AB18" t="str">
            <v>AD YA MA</v>
          </cell>
          <cell r="AC18" t="str">
            <v>Se busca atender mujeres transgenero y hombres transgenero, personas viviendo con VIH/SIDA y sus allegados y parejas sexuales, vecinos y amigos y familiares de origen</v>
          </cell>
          <cell r="AD18" t="str">
            <v>Muerte, enfermedad y vulnerabilidad social: Narrativas y prácticas de cuidado en los contextos de muerte de mujeres trans en Lima. http://tesis.pucp.edu.pe/repositorio/bitstream/handle/20.500.12404/11858/NUNEZ_CURTO_SIFUENTES_EDGAR_MUERTE_ENFERMEDAD.pdf?sequence=1&amp;isAllowed=y</v>
          </cell>
          <cell r="AE18" t="str">
            <v>4</v>
          </cell>
          <cell r="AF18" t="str">
            <v>1 2 3 4</v>
          </cell>
          <cell r="AG18" t="str">
            <v>W M D</v>
          </cell>
          <cell r="AH18" t="str">
            <v>AD YA MA</v>
          </cell>
          <cell r="AI18" t="str">
            <v>Se capacitara a Promotoras educadoras de pares, como estrategia para fortalecer la asociatividad de personas que viven con VIH/SIDA con la posibilidad de que desarrollen capacidades para el acompañamiento de sus comunidad, migrantes venezolanos afectados por el VIH/SIDA o victimas del estigma y la discriminacion</v>
          </cell>
          <cell r="AJ18" t="str">
            <v>ÍNDICE DE ESTIGMA Y DISCRIMINACIÓN EN PERSONAS CON VIH. http://onusidalac.org/1/images/2017/indice-ED-200218.pdf</v>
          </cell>
          <cell r="AK18" t="str">
            <v>4</v>
          </cell>
          <cell r="AL18" t="str">
            <v>3 2</v>
          </cell>
          <cell r="AM18" t="str">
            <v>W M D</v>
          </cell>
          <cell r="AN18" t="str">
            <v>AD YA MA</v>
          </cell>
          <cell r="AO18" t="str">
            <v>Registro de participantes
Encuestas para medir el incremento del conocimiento
Encuestas de satisfaccion de participantes
Numero de Consejeros entre pares que se autoidentifican en el rol de Agentes comunitarios de la Salud</v>
          </cell>
          <cell r="AP18" t="str">
            <v>MEMORIA DEL PRIMER ENCUENTRO NACIONAL DE PROMOCIÓN DE LA SALUD. http://bvs.minsa.gob.pe/local/PROMOCION/155_ennac.pdf</v>
          </cell>
          <cell r="AQ18" t="str">
            <v>4</v>
          </cell>
          <cell r="AR18" t="str">
            <v>4</v>
          </cell>
          <cell r="AS18" t="str">
            <v>T</v>
          </cell>
          <cell r="DG18">
            <v>0</v>
          </cell>
          <cell r="DH18" t="str">
            <v>4T</v>
          </cell>
          <cell r="DI18" t="str">
            <v>4 (T)</v>
          </cell>
          <cell r="DJ18" t="str">
            <v>submitted_via_web</v>
          </cell>
          <cell r="DK18" t="str">
            <v>2019-09-30</v>
          </cell>
          <cell r="DL18" t="str">
            <v>2019-10-02T05:42:58</v>
          </cell>
          <cell r="DM18">
            <v>69841550</v>
          </cell>
          <cell r="DN18" t="str">
            <v>1a6bd7d6-71d8-4dd6-88ea-a2e03694842e</v>
          </cell>
          <cell r="DO18" t="str">
            <v>ee.humanitarianresponse.info:ypvdYGMAb9Bb4OEr</v>
          </cell>
          <cell r="DP18" t="str">
            <v>vp86QYmujSsq9anoBGtGAw</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B8858-916A-47D2-AF82-353B1D7A5AEA}">
  <dimension ref="A1:G61"/>
  <sheetViews>
    <sheetView workbookViewId="0">
      <selection activeCell="E51" sqref="E51"/>
    </sheetView>
  </sheetViews>
  <sheetFormatPr defaultRowHeight="15" x14ac:dyDescent="0.25"/>
  <cols>
    <col min="1" max="1" width="13.28515625" style="3" bestFit="1" customWidth="1"/>
    <col min="2" max="2" width="8.7109375" style="3" customWidth="1"/>
    <col min="3" max="3" width="57.140625" style="5" customWidth="1"/>
  </cols>
  <sheetData>
    <row r="1" spans="1:3" x14ac:dyDescent="0.25">
      <c r="A1" s="6" t="s">
        <v>0</v>
      </c>
      <c r="B1" s="6" t="s">
        <v>101</v>
      </c>
      <c r="C1" s="7" t="s">
        <v>99</v>
      </c>
    </row>
    <row r="2" spans="1:3" ht="33.75" hidden="1" x14ac:dyDescent="0.25">
      <c r="A2" s="8" t="s">
        <v>100</v>
      </c>
      <c r="B2" s="9"/>
      <c r="C2" s="10" t="s">
        <v>102</v>
      </c>
    </row>
    <row r="3" spans="1:3" hidden="1" x14ac:dyDescent="0.25">
      <c r="B3" s="1" t="s">
        <v>1</v>
      </c>
      <c r="C3" s="2" t="s">
        <v>2</v>
      </c>
    </row>
    <row r="4" spans="1:3" hidden="1" x14ac:dyDescent="0.25">
      <c r="B4" s="4" t="s">
        <v>3</v>
      </c>
      <c r="C4" s="2" t="s">
        <v>4</v>
      </c>
    </row>
    <row r="5" spans="1:3" hidden="1" x14ac:dyDescent="0.25">
      <c r="B5" s="4" t="s">
        <v>5</v>
      </c>
      <c r="C5" s="2" t="s">
        <v>6</v>
      </c>
    </row>
    <row r="6" spans="1:3" hidden="1" x14ac:dyDescent="0.25">
      <c r="B6" s="4"/>
      <c r="C6" s="2"/>
    </row>
    <row r="7" spans="1:3" hidden="1" x14ac:dyDescent="0.25">
      <c r="A7" s="8" t="s">
        <v>103</v>
      </c>
      <c r="B7" s="8"/>
      <c r="C7" s="11" t="s">
        <v>104</v>
      </c>
    </row>
    <row r="8" spans="1:3" hidden="1" x14ac:dyDescent="0.25">
      <c r="B8" s="4" t="s">
        <v>61</v>
      </c>
      <c r="C8" s="5" t="s">
        <v>86</v>
      </c>
    </row>
    <row r="9" spans="1:3" hidden="1" x14ac:dyDescent="0.25">
      <c r="B9" s="4" t="s">
        <v>59</v>
      </c>
      <c r="C9" s="5" t="s">
        <v>87</v>
      </c>
    </row>
    <row r="10" spans="1:3" hidden="1" x14ac:dyDescent="0.25">
      <c r="B10" s="4" t="s">
        <v>88</v>
      </c>
      <c r="C10" s="5" t="s">
        <v>89</v>
      </c>
    </row>
    <row r="11" spans="1:3" hidden="1" x14ac:dyDescent="0.25">
      <c r="B11" s="4"/>
      <c r="C11" s="2"/>
    </row>
    <row r="12" spans="1:3" hidden="1" x14ac:dyDescent="0.25">
      <c r="A12" s="8" t="s">
        <v>105</v>
      </c>
      <c r="B12" s="8"/>
      <c r="C12" s="11" t="s">
        <v>106</v>
      </c>
    </row>
    <row r="13" spans="1:3" hidden="1" x14ac:dyDescent="0.25">
      <c r="B13" s="4" t="s">
        <v>7</v>
      </c>
      <c r="C13" s="2" t="s">
        <v>8</v>
      </c>
    </row>
    <row r="14" spans="1:3" hidden="1" x14ac:dyDescent="0.25">
      <c r="B14" s="4" t="s">
        <v>9</v>
      </c>
      <c r="C14" s="5" t="s">
        <v>10</v>
      </c>
    </row>
    <row r="15" spans="1:3" hidden="1" x14ac:dyDescent="0.25">
      <c r="B15" s="4" t="s">
        <v>11</v>
      </c>
      <c r="C15" s="5" t="s">
        <v>12</v>
      </c>
    </row>
    <row r="16" spans="1:3" hidden="1" x14ac:dyDescent="0.25">
      <c r="B16" s="4" t="s">
        <v>13</v>
      </c>
      <c r="C16" s="5" t="s">
        <v>14</v>
      </c>
    </row>
    <row r="17" spans="2:3" hidden="1" x14ac:dyDescent="0.25">
      <c r="B17" s="4" t="s">
        <v>15</v>
      </c>
      <c r="C17" s="5" t="s">
        <v>16</v>
      </c>
    </row>
    <row r="18" spans="2:3" hidden="1" x14ac:dyDescent="0.25">
      <c r="B18" s="4" t="s">
        <v>17</v>
      </c>
      <c r="C18" s="5" t="s">
        <v>18</v>
      </c>
    </row>
    <row r="19" spans="2:3" hidden="1" x14ac:dyDescent="0.25">
      <c r="B19" s="4" t="s">
        <v>19</v>
      </c>
      <c r="C19" s="5" t="s">
        <v>20</v>
      </c>
    </row>
    <row r="20" spans="2:3" hidden="1" x14ac:dyDescent="0.25">
      <c r="B20" s="4" t="s">
        <v>21</v>
      </c>
      <c r="C20" s="5" t="s">
        <v>22</v>
      </c>
    </row>
    <row r="21" spans="2:3" hidden="1" x14ac:dyDescent="0.25">
      <c r="B21" s="4" t="s">
        <v>23</v>
      </c>
      <c r="C21" s="5" t="s">
        <v>24</v>
      </c>
    </row>
    <row r="22" spans="2:3" hidden="1" x14ac:dyDescent="0.25">
      <c r="B22" s="4" t="s">
        <v>25</v>
      </c>
      <c r="C22" s="5" t="s">
        <v>26</v>
      </c>
    </row>
    <row r="23" spans="2:3" hidden="1" x14ac:dyDescent="0.25">
      <c r="B23" s="4" t="s">
        <v>27</v>
      </c>
      <c r="C23" s="5" t="s">
        <v>28</v>
      </c>
    </row>
    <row r="24" spans="2:3" hidden="1" x14ac:dyDescent="0.25">
      <c r="B24" s="4" t="s">
        <v>29</v>
      </c>
      <c r="C24" s="5" t="s">
        <v>30</v>
      </c>
    </row>
    <row r="25" spans="2:3" hidden="1" x14ac:dyDescent="0.25">
      <c r="B25" s="4" t="s">
        <v>31</v>
      </c>
      <c r="C25" s="5" t="s">
        <v>32</v>
      </c>
    </row>
    <row r="26" spans="2:3" hidden="1" x14ac:dyDescent="0.25">
      <c r="B26" s="4" t="s">
        <v>33</v>
      </c>
      <c r="C26" s="5" t="s">
        <v>34</v>
      </c>
    </row>
    <row r="27" spans="2:3" hidden="1" x14ac:dyDescent="0.25">
      <c r="B27" s="4" t="s">
        <v>35</v>
      </c>
      <c r="C27" s="5" t="s">
        <v>36</v>
      </c>
    </row>
    <row r="28" spans="2:3" hidden="1" x14ac:dyDescent="0.25">
      <c r="B28" s="4" t="s">
        <v>37</v>
      </c>
      <c r="C28" s="5" t="s">
        <v>38</v>
      </c>
    </row>
    <row r="29" spans="2:3" hidden="1" x14ac:dyDescent="0.25">
      <c r="B29" s="4" t="s">
        <v>39</v>
      </c>
      <c r="C29" s="5" t="s">
        <v>40</v>
      </c>
    </row>
    <row r="30" spans="2:3" hidden="1" x14ac:dyDescent="0.25">
      <c r="B30" s="4" t="s">
        <v>41</v>
      </c>
      <c r="C30" s="5" t="s">
        <v>42</v>
      </c>
    </row>
    <row r="31" spans="2:3" hidden="1" x14ac:dyDescent="0.25">
      <c r="B31" s="4" t="s">
        <v>43</v>
      </c>
      <c r="C31" s="5" t="s">
        <v>44</v>
      </c>
    </row>
    <row r="32" spans="2:3" hidden="1" x14ac:dyDescent="0.25">
      <c r="B32" s="4" t="s">
        <v>45</v>
      </c>
      <c r="C32" s="5" t="s">
        <v>46</v>
      </c>
    </row>
    <row r="33" spans="1:5" x14ac:dyDescent="0.25">
      <c r="B33" s="4"/>
      <c r="C33" s="13" t="s">
        <v>151</v>
      </c>
      <c r="D33">
        <v>122</v>
      </c>
    </row>
    <row r="34" spans="1:5" x14ac:dyDescent="0.25">
      <c r="A34" s="8" t="s">
        <v>107</v>
      </c>
      <c r="B34" s="8"/>
      <c r="C34" s="11" t="s">
        <v>108</v>
      </c>
    </row>
    <row r="35" spans="1:5" x14ac:dyDescent="0.25">
      <c r="B35" s="4" t="s">
        <v>53</v>
      </c>
      <c r="C35" s="5" t="s">
        <v>54</v>
      </c>
      <c r="D35" t="e">
        <f>COUNTIF('[1]GAMs for Accepted HPC'!$J:$J,"*W*")</f>
        <v>#VALUE!</v>
      </c>
      <c r="E35" s="12" t="e">
        <f>D35/$D$33</f>
        <v>#VALUE!</v>
      </c>
    </row>
    <row r="36" spans="1:5" x14ac:dyDescent="0.25">
      <c r="B36" s="4" t="s">
        <v>55</v>
      </c>
      <c r="C36" s="5" t="s">
        <v>56</v>
      </c>
      <c r="D36" t="e">
        <f>COUNTIF('[1]GAMs for Accepted HPC'!$J:$J,"*g*")</f>
        <v>#VALUE!</v>
      </c>
      <c r="E36" s="12" t="e">
        <f>D36/$D$33</f>
        <v>#VALUE!</v>
      </c>
    </row>
    <row r="37" spans="1:5" x14ac:dyDescent="0.25">
      <c r="B37" s="4" t="s">
        <v>57</v>
      </c>
      <c r="C37" s="5" t="s">
        <v>58</v>
      </c>
      <c r="D37" t="e">
        <f>COUNTIF('[1]GAMs for Accepted HPC'!$J:$J,"*b*")</f>
        <v>#VALUE!</v>
      </c>
      <c r="E37" s="12" t="e">
        <f t="shared" ref="E37:E40" si="0">D37/$D$33</f>
        <v>#VALUE!</v>
      </c>
    </row>
    <row r="38" spans="1:5" x14ac:dyDescent="0.25">
      <c r="B38" s="4" t="s">
        <v>59</v>
      </c>
      <c r="C38" s="5" t="s">
        <v>60</v>
      </c>
      <c r="D38" t="e">
        <f>COUNTIF('[1]GAMs for Accepted HPC'!$J:$J,"*m*")</f>
        <v>#VALUE!</v>
      </c>
      <c r="E38" s="12" t="e">
        <f t="shared" si="0"/>
        <v>#VALUE!</v>
      </c>
    </row>
    <row r="39" spans="1:5" x14ac:dyDescent="0.25">
      <c r="B39" s="4" t="s">
        <v>61</v>
      </c>
      <c r="C39" s="5" t="s">
        <v>62</v>
      </c>
      <c r="D39" t="e">
        <f>COUNTIF('[1]GAMs for Accepted HPC'!$J:$J,"*d*")</f>
        <v>#VALUE!</v>
      </c>
      <c r="E39" s="12" t="e">
        <f t="shared" si="0"/>
        <v>#VALUE!</v>
      </c>
    </row>
    <row r="40" spans="1:5" x14ac:dyDescent="0.25">
      <c r="B40" s="4" t="s">
        <v>68</v>
      </c>
      <c r="C40" s="5" t="s">
        <v>69</v>
      </c>
      <c r="D40" t="e">
        <f>COUNTIF('[1]GAMs for Accepted HPC'!$J:$J,"*NA*")</f>
        <v>#VALUE!</v>
      </c>
      <c r="E40" s="12" t="e">
        <f t="shared" si="0"/>
        <v>#VALUE!</v>
      </c>
    </row>
    <row r="41" spans="1:5" x14ac:dyDescent="0.25">
      <c r="B41" s="4"/>
    </row>
    <row r="42" spans="1:5" x14ac:dyDescent="0.25">
      <c r="A42" s="8" t="s">
        <v>109</v>
      </c>
      <c r="B42" s="8"/>
      <c r="C42" s="11" t="s">
        <v>110</v>
      </c>
    </row>
    <row r="43" spans="1:5" x14ac:dyDescent="0.25">
      <c r="B43" s="4" t="s">
        <v>72</v>
      </c>
      <c r="C43" s="5" t="s">
        <v>73</v>
      </c>
      <c r="D43" t="e">
        <f>COUNTIF('[1]GAMs for Accepted HPC'!$K:$K,"*yc*")</f>
        <v>#VALUE!</v>
      </c>
      <c r="E43" s="12" t="e">
        <f t="shared" ref="E43:E48" si="1">D43/$D$33</f>
        <v>#VALUE!</v>
      </c>
    </row>
    <row r="44" spans="1:5" x14ac:dyDescent="0.25">
      <c r="B44" s="4" t="s">
        <v>74</v>
      </c>
      <c r="C44" s="5" t="s">
        <v>75</v>
      </c>
      <c r="D44" t="e">
        <f>COUNTIF('[1]GAMs for Accepted HPC'!$K:$K,"*ch*")</f>
        <v>#VALUE!</v>
      </c>
      <c r="E44" s="12" t="e">
        <f t="shared" si="1"/>
        <v>#VALUE!</v>
      </c>
    </row>
    <row r="45" spans="1:5" x14ac:dyDescent="0.25">
      <c r="B45" s="4" t="s">
        <v>76</v>
      </c>
      <c r="C45" s="5" t="s">
        <v>77</v>
      </c>
      <c r="D45" t="e">
        <f>COUNTIF('[1]GAMs for Accepted HPC'!$K:$K,"*ad*")</f>
        <v>#VALUE!</v>
      </c>
      <c r="E45" s="12" t="e">
        <f t="shared" si="1"/>
        <v>#VALUE!</v>
      </c>
    </row>
    <row r="46" spans="1:5" x14ac:dyDescent="0.25">
      <c r="B46" s="4" t="s">
        <v>78</v>
      </c>
      <c r="C46" s="5" t="s">
        <v>79</v>
      </c>
      <c r="D46" t="e">
        <f>COUNTIF('[1]GAMs for Accepted HPC'!$K:$K,"*ya*")</f>
        <v>#VALUE!</v>
      </c>
      <c r="E46" s="12" t="e">
        <f t="shared" si="1"/>
        <v>#VALUE!</v>
      </c>
    </row>
    <row r="47" spans="1:5" x14ac:dyDescent="0.25">
      <c r="B47" s="4" t="s">
        <v>80</v>
      </c>
      <c r="C47" s="5" t="s">
        <v>81</v>
      </c>
      <c r="D47" t="e">
        <f>COUNTIF('[1]GAMs for Accepted HPC'!$K:$K,"*ma*")</f>
        <v>#VALUE!</v>
      </c>
      <c r="E47" s="12" t="e">
        <f t="shared" si="1"/>
        <v>#VALUE!</v>
      </c>
    </row>
    <row r="48" spans="1:5" x14ac:dyDescent="0.25">
      <c r="B48" s="4" t="s">
        <v>82</v>
      </c>
      <c r="C48" s="5" t="s">
        <v>83</v>
      </c>
      <c r="D48" t="e">
        <f>COUNTIF('[1]GAMs for Accepted HPC'!$K:$K,"*oa*")</f>
        <v>#VALUE!</v>
      </c>
      <c r="E48" s="12" t="e">
        <f t="shared" si="1"/>
        <v>#VALUE!</v>
      </c>
    </row>
    <row r="49" spans="1:7" x14ac:dyDescent="0.25">
      <c r="B49" s="4"/>
    </row>
    <row r="50" spans="1:7" x14ac:dyDescent="0.25">
      <c r="A50" s="8" t="s">
        <v>111</v>
      </c>
      <c r="B50" s="8"/>
      <c r="C50" s="11" t="s">
        <v>112</v>
      </c>
    </row>
    <row r="51" spans="1:7" x14ac:dyDescent="0.25">
      <c r="B51" s="4" t="s">
        <v>47</v>
      </c>
      <c r="C51" s="5" t="s">
        <v>48</v>
      </c>
      <c r="D51" t="e">
        <f>COUNTIF('[1]GAMs for Accepted HPC'!$L:$L,"*ct*")</f>
        <v>#VALUE!</v>
      </c>
      <c r="E51" s="12" t="e">
        <f>D51/126</f>
        <v>#VALUE!</v>
      </c>
      <c r="G51" t="s">
        <v>152</v>
      </c>
    </row>
    <row r="52" spans="1:7" x14ac:dyDescent="0.25">
      <c r="B52" s="4" t="s">
        <v>49</v>
      </c>
      <c r="C52" s="5" t="s">
        <v>50</v>
      </c>
      <c r="D52" t="e">
        <f>COUNTIF('[1]GAMs for Accepted HPC'!$L:$L,"*sl*")</f>
        <v>#VALUE!</v>
      </c>
      <c r="E52" s="12" t="e">
        <f>D52/126</f>
        <v>#VALUE!</v>
      </c>
    </row>
    <row r="53" spans="1:7" x14ac:dyDescent="0.25">
      <c r="B53" s="4" t="s">
        <v>51</v>
      </c>
      <c r="C53" s="5" t="s">
        <v>52</v>
      </c>
      <c r="D53" t="e">
        <f>COUNTIF('[1]GAMs for Accepted HPC'!$L:$L,"*dv*")</f>
        <v>#VALUE!</v>
      </c>
      <c r="E53" s="12" t="e">
        <f>D53/126</f>
        <v>#VALUE!</v>
      </c>
    </row>
    <row r="54" spans="1:7" x14ac:dyDescent="0.25">
      <c r="B54" s="4"/>
    </row>
    <row r="55" spans="1:7" x14ac:dyDescent="0.25">
      <c r="B55" s="4"/>
    </row>
    <row r="56" spans="1:7" x14ac:dyDescent="0.25">
      <c r="B56" s="4"/>
    </row>
    <row r="57" spans="1:7" x14ac:dyDescent="0.25">
      <c r="B57" s="4"/>
    </row>
    <row r="58" spans="1:7" x14ac:dyDescent="0.25">
      <c r="B58" s="4"/>
    </row>
    <row r="59" spans="1:7" x14ac:dyDescent="0.25">
      <c r="B59" s="4"/>
    </row>
    <row r="60" spans="1:7" x14ac:dyDescent="0.25">
      <c r="B60" s="4"/>
    </row>
    <row r="61" spans="1:7" x14ac:dyDescent="0.25">
      <c r="B61" s="4"/>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BB6BB-47CD-49D3-A115-3A8DB04A20D4}">
  <sheetPr>
    <outlinePr summaryBelow="0"/>
  </sheetPr>
  <dimension ref="A1:N173"/>
  <sheetViews>
    <sheetView tabSelected="1" topLeftCell="B20" workbookViewId="0">
      <selection activeCell="H24" sqref="G24:H24"/>
    </sheetView>
  </sheetViews>
  <sheetFormatPr defaultRowHeight="15" outlineLevelRow="1" x14ac:dyDescent="0.25"/>
  <cols>
    <col min="1" max="1" width="13.28515625" style="60" hidden="1" customWidth="1"/>
    <col min="2" max="2" width="8.7109375" style="60" customWidth="1"/>
    <col min="3" max="3" width="46" style="61" customWidth="1"/>
    <col min="4" max="4" width="9.140625" style="36" customWidth="1"/>
    <col min="5" max="9" width="9.140625" style="36"/>
    <col min="10" max="10" width="13.140625" style="36" customWidth="1"/>
    <col min="11" max="11" width="31.28515625" style="36" customWidth="1"/>
    <col min="12" max="16384" width="9.140625" style="36"/>
  </cols>
  <sheetData>
    <row r="1" spans="1:6" hidden="1" x14ac:dyDescent="0.25">
      <c r="A1" s="15" t="s">
        <v>0</v>
      </c>
      <c r="B1" s="15" t="s">
        <v>101</v>
      </c>
      <c r="C1" s="41" t="s">
        <v>99</v>
      </c>
      <c r="D1" s="35"/>
      <c r="E1" s="35"/>
      <c r="F1" s="35"/>
    </row>
    <row r="2" spans="1:6" hidden="1" x14ac:dyDescent="0.25">
      <c r="A2" s="42" t="s">
        <v>144</v>
      </c>
      <c r="B2" s="43"/>
      <c r="C2" s="44" t="s">
        <v>145</v>
      </c>
      <c r="D2" s="35"/>
      <c r="E2" s="35"/>
      <c r="F2" s="35"/>
    </row>
    <row r="3" spans="1:6" hidden="1" x14ac:dyDescent="0.25">
      <c r="A3" s="15"/>
      <c r="B3" s="45" t="s">
        <v>53</v>
      </c>
      <c r="C3" s="46" t="s">
        <v>54</v>
      </c>
      <c r="D3" s="35"/>
      <c r="E3" s="35"/>
      <c r="F3" s="35"/>
    </row>
    <row r="4" spans="1:6" hidden="1" x14ac:dyDescent="0.25">
      <c r="A4" s="15"/>
      <c r="B4" s="45" t="s">
        <v>55</v>
      </c>
      <c r="C4" s="46" t="s">
        <v>56</v>
      </c>
      <c r="D4" s="35"/>
      <c r="E4" s="35"/>
      <c r="F4" s="35"/>
    </row>
    <row r="5" spans="1:6" hidden="1" x14ac:dyDescent="0.25">
      <c r="A5" s="15"/>
      <c r="B5" s="45" t="s">
        <v>57</v>
      </c>
      <c r="C5" s="46" t="s">
        <v>58</v>
      </c>
      <c r="D5" s="35"/>
      <c r="E5" s="35"/>
      <c r="F5" s="35"/>
    </row>
    <row r="6" spans="1:6" hidden="1" x14ac:dyDescent="0.25">
      <c r="A6" s="15"/>
      <c r="B6" s="45" t="s">
        <v>59</v>
      </c>
      <c r="C6" s="46" t="s">
        <v>60</v>
      </c>
      <c r="D6" s="35"/>
      <c r="E6" s="35"/>
      <c r="F6" s="35"/>
    </row>
    <row r="7" spans="1:6" hidden="1" x14ac:dyDescent="0.25">
      <c r="A7" s="15"/>
      <c r="B7" s="45" t="s">
        <v>61</v>
      </c>
      <c r="C7" s="46" t="s">
        <v>62</v>
      </c>
      <c r="D7" s="35"/>
      <c r="E7" s="35"/>
      <c r="F7" s="35"/>
    </row>
    <row r="8" spans="1:6" hidden="1" x14ac:dyDescent="0.25">
      <c r="A8" s="15"/>
      <c r="B8" s="45" t="s">
        <v>66</v>
      </c>
      <c r="C8" s="46" t="s">
        <v>67</v>
      </c>
      <c r="D8" s="35"/>
      <c r="E8" s="35"/>
      <c r="F8" s="35"/>
    </row>
    <row r="9" spans="1:6" hidden="1" x14ac:dyDescent="0.25">
      <c r="A9" s="15"/>
      <c r="B9" s="15"/>
      <c r="C9" s="41"/>
      <c r="D9" s="35"/>
      <c r="E9" s="35"/>
      <c r="F9" s="35"/>
    </row>
    <row r="10" spans="1:6" hidden="1" x14ac:dyDescent="0.25">
      <c r="A10" s="42" t="s">
        <v>97</v>
      </c>
      <c r="B10" s="43"/>
      <c r="C10" s="44" t="s">
        <v>145</v>
      </c>
      <c r="D10" s="35"/>
      <c r="E10" s="35"/>
      <c r="F10" s="35"/>
    </row>
    <row r="11" spans="1:6" hidden="1" x14ac:dyDescent="0.25">
      <c r="A11" s="15"/>
      <c r="B11" s="45" t="s">
        <v>232</v>
      </c>
      <c r="C11" s="46" t="s">
        <v>73</v>
      </c>
      <c r="D11" s="35"/>
      <c r="E11" s="35"/>
      <c r="F11" s="35"/>
    </row>
    <row r="12" spans="1:6" hidden="1" x14ac:dyDescent="0.25">
      <c r="A12" s="15"/>
      <c r="B12" s="45" t="s">
        <v>74</v>
      </c>
      <c r="C12" s="46" t="s">
        <v>75</v>
      </c>
      <c r="D12" s="35"/>
      <c r="E12" s="35"/>
      <c r="F12" s="35"/>
    </row>
    <row r="13" spans="1:6" hidden="1" x14ac:dyDescent="0.25">
      <c r="A13" s="15"/>
      <c r="B13" s="45" t="s">
        <v>76</v>
      </c>
      <c r="C13" s="46" t="s">
        <v>77</v>
      </c>
      <c r="D13" s="35"/>
      <c r="E13" s="35"/>
      <c r="F13" s="35"/>
    </row>
    <row r="14" spans="1:6" hidden="1" x14ac:dyDescent="0.25">
      <c r="A14" s="15"/>
      <c r="B14" s="45" t="s">
        <v>78</v>
      </c>
      <c r="C14" s="46" t="s">
        <v>79</v>
      </c>
      <c r="D14" s="35"/>
      <c r="E14" s="35"/>
      <c r="F14" s="35"/>
    </row>
    <row r="15" spans="1:6" hidden="1" x14ac:dyDescent="0.25">
      <c r="A15" s="15"/>
      <c r="B15" s="45" t="s">
        <v>80</v>
      </c>
      <c r="C15" s="46" t="s">
        <v>81</v>
      </c>
      <c r="D15" s="35"/>
      <c r="E15" s="35"/>
      <c r="F15" s="35"/>
    </row>
    <row r="16" spans="1:6" hidden="1" x14ac:dyDescent="0.25">
      <c r="A16" s="15"/>
      <c r="B16" s="45" t="s">
        <v>82</v>
      </c>
      <c r="C16" s="46" t="s">
        <v>83</v>
      </c>
      <c r="D16" s="35"/>
      <c r="E16" s="35"/>
      <c r="F16" s="35"/>
    </row>
    <row r="17" spans="1:14" hidden="1" x14ac:dyDescent="0.25">
      <c r="A17" s="15"/>
      <c r="B17" s="45" t="s">
        <v>66</v>
      </c>
      <c r="C17" s="47" t="s">
        <v>85</v>
      </c>
      <c r="D17" s="35"/>
      <c r="E17" s="35"/>
      <c r="F17" s="35"/>
    </row>
    <row r="18" spans="1:14" hidden="1" x14ac:dyDescent="0.25">
      <c r="A18" s="15"/>
      <c r="B18" s="15"/>
      <c r="C18" s="41"/>
      <c r="D18" s="35"/>
      <c r="E18" s="35"/>
      <c r="F18" s="35"/>
    </row>
    <row r="19" spans="1:14" hidden="1" x14ac:dyDescent="0.25">
      <c r="A19" s="15" t="s">
        <v>146</v>
      </c>
      <c r="B19" s="15"/>
      <c r="C19" s="41"/>
      <c r="D19" s="35"/>
      <c r="E19" s="35"/>
      <c r="F19" s="35"/>
    </row>
    <row r="20" spans="1:14" x14ac:dyDescent="0.25">
      <c r="A20" s="15"/>
      <c r="B20" s="15"/>
      <c r="C20" s="41"/>
      <c r="D20" s="37" t="s">
        <v>177</v>
      </c>
      <c r="E20" s="37" t="s">
        <v>178</v>
      </c>
      <c r="F20" s="35"/>
      <c r="I20" s="76"/>
      <c r="J20" s="76"/>
      <c r="K20" s="76"/>
      <c r="L20" s="76"/>
      <c r="M20" s="76"/>
      <c r="N20" s="76"/>
    </row>
    <row r="21" spans="1:14" x14ac:dyDescent="0.25">
      <c r="A21" s="15"/>
      <c r="B21" s="15"/>
      <c r="C21" s="48" t="s">
        <v>233</v>
      </c>
      <c r="D21" s="15">
        <v>17</v>
      </c>
      <c r="E21" s="35"/>
      <c r="F21" s="35"/>
      <c r="I21" s="76"/>
      <c r="J21" s="76"/>
      <c r="K21" s="76"/>
      <c r="L21" s="76"/>
      <c r="M21" s="76"/>
      <c r="N21" s="76"/>
    </row>
    <row r="22" spans="1:14" x14ac:dyDescent="0.25">
      <c r="A22" s="49" t="s">
        <v>119</v>
      </c>
      <c r="B22" s="49"/>
      <c r="C22" s="50" t="s">
        <v>120</v>
      </c>
      <c r="D22" s="35"/>
      <c r="E22" s="35"/>
      <c r="F22" s="35"/>
      <c r="I22" s="77"/>
      <c r="J22" s="78"/>
      <c r="K22" s="78"/>
      <c r="L22" s="78"/>
      <c r="M22" s="76"/>
      <c r="N22" s="76"/>
    </row>
    <row r="23" spans="1:14" x14ac:dyDescent="0.25">
      <c r="A23" s="51" t="s">
        <v>113</v>
      </c>
      <c r="B23" s="42"/>
      <c r="C23" s="42" t="s">
        <v>114</v>
      </c>
      <c r="D23" s="35"/>
      <c r="E23" s="35"/>
      <c r="F23" s="35"/>
      <c r="I23" s="76"/>
      <c r="J23" s="78"/>
      <c r="K23" s="78"/>
      <c r="L23" s="78"/>
      <c r="M23" s="76"/>
      <c r="N23" s="76"/>
    </row>
    <row r="24" spans="1:14" x14ac:dyDescent="0.25">
      <c r="A24" s="52"/>
      <c r="B24" s="53">
        <v>2</v>
      </c>
      <c r="C24" s="54" t="s">
        <v>90</v>
      </c>
      <c r="D24" s="35">
        <f>COUNTIF([2]Peru!$T:$T,"2")</f>
        <v>4</v>
      </c>
      <c r="E24" s="38">
        <f>D24/$D$21</f>
        <v>0.23529411764705882</v>
      </c>
      <c r="F24" s="35"/>
      <c r="G24" s="15"/>
    </row>
    <row r="25" spans="1:14" x14ac:dyDescent="0.25">
      <c r="A25" s="52"/>
      <c r="B25" s="45">
        <v>1</v>
      </c>
      <c r="C25" s="54" t="s">
        <v>91</v>
      </c>
      <c r="D25" s="35">
        <f>COUNTIF([2]Peru!$T:$T,"1")</f>
        <v>10</v>
      </c>
      <c r="E25" s="38">
        <f t="shared" ref="E25:E26" si="0">D25/$D$21</f>
        <v>0.58823529411764708</v>
      </c>
      <c r="F25" s="35"/>
      <c r="G25" s="35"/>
    </row>
    <row r="26" spans="1:14" x14ac:dyDescent="0.25">
      <c r="A26" s="52"/>
      <c r="B26" s="45">
        <v>0</v>
      </c>
      <c r="C26" s="54" t="s">
        <v>92</v>
      </c>
      <c r="D26" s="35">
        <f>COUNTIF([2]Peru!$T:$T,"0")</f>
        <v>3</v>
      </c>
      <c r="E26" s="38">
        <f t="shared" si="0"/>
        <v>0.17647058823529413</v>
      </c>
      <c r="F26" s="35"/>
      <c r="G26" s="35"/>
    </row>
    <row r="27" spans="1:14" x14ac:dyDescent="0.25">
      <c r="A27" s="52"/>
      <c r="B27" s="45"/>
      <c r="C27" s="46"/>
      <c r="D27" s="15">
        <f>SUM(D24:D26)</f>
        <v>17</v>
      </c>
      <c r="E27" s="38">
        <f>SUM(E24:E26)</f>
        <v>1</v>
      </c>
      <c r="F27" s="35"/>
    </row>
    <row r="28" spans="1:14" ht="45" x14ac:dyDescent="0.25">
      <c r="A28" s="51" t="s">
        <v>115</v>
      </c>
      <c r="B28" s="51"/>
      <c r="C28" s="55" t="s">
        <v>116</v>
      </c>
      <c r="D28" s="35"/>
      <c r="E28" s="35"/>
      <c r="F28" s="35"/>
    </row>
    <row r="29" spans="1:14" outlineLevel="1" x14ac:dyDescent="0.25">
      <c r="A29" s="52"/>
      <c r="B29" s="45" t="s">
        <v>53</v>
      </c>
      <c r="C29" s="46" t="s">
        <v>54</v>
      </c>
      <c r="D29" s="35">
        <f>COUNTIF([2]Peru!$U:$U,"*w*")</f>
        <v>13</v>
      </c>
      <c r="E29" s="38">
        <f t="shared" ref="E29:E34" si="1">D29/$D$21</f>
        <v>0.76470588235294112</v>
      </c>
      <c r="G29" s="36" t="s">
        <v>192</v>
      </c>
      <c r="H29" s="35">
        <f>COUNTIF([2]Peru!$U:$U,"*w g b m d*")</f>
        <v>6</v>
      </c>
      <c r="I29" s="38">
        <f t="shared" ref="I29:I30" si="2">H29/$D$21</f>
        <v>0.35294117647058826</v>
      </c>
    </row>
    <row r="30" spans="1:14" outlineLevel="1" x14ac:dyDescent="0.25">
      <c r="A30" s="52"/>
      <c r="B30" s="45" t="s">
        <v>55</v>
      </c>
      <c r="C30" s="46" t="s">
        <v>56</v>
      </c>
      <c r="D30" s="35">
        <f>COUNTIF([2]Peru!$U:$U,"*g*")</f>
        <v>13</v>
      </c>
      <c r="E30" s="38">
        <f t="shared" si="1"/>
        <v>0.76470588235294112</v>
      </c>
      <c r="G30" s="35" t="s">
        <v>193</v>
      </c>
      <c r="H30" s="35">
        <f>COUNTIF([2]Peru!$U:$U,"*w g b m*")</f>
        <v>9</v>
      </c>
      <c r="I30" s="38">
        <f t="shared" si="2"/>
        <v>0.52941176470588236</v>
      </c>
    </row>
    <row r="31" spans="1:14" outlineLevel="1" x14ac:dyDescent="0.25">
      <c r="A31" s="52"/>
      <c r="B31" s="45" t="s">
        <v>57</v>
      </c>
      <c r="C31" s="46" t="s">
        <v>58</v>
      </c>
      <c r="D31" s="35">
        <f>COUNTIF([2]Peru!$U:$U,"*b*")</f>
        <v>11</v>
      </c>
      <c r="E31" s="38">
        <f t="shared" si="1"/>
        <v>0.6470588235294118</v>
      </c>
      <c r="G31" s="35"/>
      <c r="H31" s="35"/>
      <c r="I31" s="39"/>
    </row>
    <row r="32" spans="1:14" outlineLevel="1" x14ac:dyDescent="0.25">
      <c r="A32" s="52"/>
      <c r="B32" s="45" t="s">
        <v>59</v>
      </c>
      <c r="C32" s="46" t="s">
        <v>60</v>
      </c>
      <c r="D32" s="35">
        <f>COUNTIF([2]Peru!$U:$U,"*m*")</f>
        <v>11</v>
      </c>
      <c r="E32" s="38">
        <f t="shared" si="1"/>
        <v>0.6470588235294118</v>
      </c>
      <c r="F32" s="35"/>
    </row>
    <row r="33" spans="1:9" outlineLevel="1" x14ac:dyDescent="0.25">
      <c r="A33" s="52"/>
      <c r="B33" s="45" t="s">
        <v>61</v>
      </c>
      <c r="C33" s="46" t="s">
        <v>62</v>
      </c>
      <c r="D33" s="35">
        <f>COUNTIF([2]Peru!$U:$U,"*d*")</f>
        <v>9</v>
      </c>
      <c r="E33" s="38">
        <f t="shared" si="1"/>
        <v>0.52941176470588236</v>
      </c>
      <c r="F33" s="35"/>
    </row>
    <row r="34" spans="1:9" outlineLevel="1" x14ac:dyDescent="0.25">
      <c r="A34" s="52"/>
      <c r="B34" s="45"/>
      <c r="C34" s="46" t="s">
        <v>191</v>
      </c>
      <c r="D34" s="35">
        <f>COUNTBLANK([2]Peru!$U$2:$U$18)</f>
        <v>3</v>
      </c>
      <c r="E34" s="38">
        <f t="shared" si="1"/>
        <v>0.17647058823529413</v>
      </c>
      <c r="F34" s="35"/>
    </row>
    <row r="35" spans="1:9" x14ac:dyDescent="0.25">
      <c r="A35" s="52"/>
      <c r="B35" s="45"/>
      <c r="C35" s="46"/>
      <c r="D35" s="15"/>
      <c r="E35" s="38"/>
      <c r="F35" s="35"/>
    </row>
    <row r="36" spans="1:9" ht="45" x14ac:dyDescent="0.25">
      <c r="A36" s="51" t="s">
        <v>118</v>
      </c>
      <c r="B36" s="51"/>
      <c r="C36" s="55" t="s">
        <v>117</v>
      </c>
      <c r="D36" s="35"/>
      <c r="E36" s="35"/>
      <c r="F36" s="35"/>
    </row>
    <row r="37" spans="1:9" outlineLevel="1" x14ac:dyDescent="0.25">
      <c r="A37" s="52"/>
      <c r="B37" s="45" t="s">
        <v>72</v>
      </c>
      <c r="C37" s="46" t="s">
        <v>73</v>
      </c>
      <c r="D37" s="35">
        <f>COUNTIF([2]Peru!$V:$V,"*yc*")</f>
        <v>8</v>
      </c>
      <c r="E37" s="38">
        <f t="shared" ref="E37:E44" si="3">D37/$D$21</f>
        <v>0.47058823529411764</v>
      </c>
      <c r="F37" s="35"/>
      <c r="G37" s="36" t="s">
        <v>195</v>
      </c>
      <c r="H37" s="35">
        <f>COUNTIF([2]Peru!$V:$VB,"*yc ch ad ya ma oa*")</f>
        <v>15</v>
      </c>
      <c r="I37" s="38">
        <f>H37/$D$21</f>
        <v>0.88235294117647056</v>
      </c>
    </row>
    <row r="38" spans="1:9" outlineLevel="1" x14ac:dyDescent="0.25">
      <c r="A38" s="52"/>
      <c r="B38" s="45" t="s">
        <v>74</v>
      </c>
      <c r="C38" s="46" t="s">
        <v>75</v>
      </c>
      <c r="D38" s="35">
        <f>COUNTIF([2]Peru!$V:$V,"*ch*")</f>
        <v>10</v>
      </c>
      <c r="E38" s="38">
        <f t="shared" si="3"/>
        <v>0.58823529411764708</v>
      </c>
      <c r="F38" s="35"/>
    </row>
    <row r="39" spans="1:9" outlineLevel="1" x14ac:dyDescent="0.25">
      <c r="A39" s="52"/>
      <c r="B39" s="45" t="s">
        <v>76</v>
      </c>
      <c r="C39" s="46" t="s">
        <v>77</v>
      </c>
      <c r="D39" s="35">
        <f>COUNTIF([2]Peru!$V:$V,"*ad*")</f>
        <v>11</v>
      </c>
      <c r="E39" s="38">
        <f t="shared" si="3"/>
        <v>0.6470588235294118</v>
      </c>
      <c r="F39" s="35"/>
    </row>
    <row r="40" spans="1:9" outlineLevel="1" x14ac:dyDescent="0.25">
      <c r="A40" s="52"/>
      <c r="B40" s="45" t="s">
        <v>78</v>
      </c>
      <c r="C40" s="46" t="s">
        <v>79</v>
      </c>
      <c r="D40" s="35">
        <f>COUNTIF([2]Peru!$V:$V,"*ya*")</f>
        <v>12</v>
      </c>
      <c r="E40" s="38">
        <f t="shared" si="3"/>
        <v>0.70588235294117652</v>
      </c>
      <c r="F40" s="35"/>
    </row>
    <row r="41" spans="1:9" outlineLevel="1" x14ac:dyDescent="0.25">
      <c r="A41" s="52"/>
      <c r="B41" s="45" t="s">
        <v>80</v>
      </c>
      <c r="C41" s="46" t="s">
        <v>81</v>
      </c>
      <c r="D41" s="35">
        <f>COUNTIF([2]Peru!$V:$V,"*ma*")</f>
        <v>10</v>
      </c>
      <c r="E41" s="38">
        <f t="shared" si="3"/>
        <v>0.58823529411764708</v>
      </c>
      <c r="F41" s="35"/>
    </row>
    <row r="42" spans="1:9" outlineLevel="1" x14ac:dyDescent="0.25">
      <c r="A42" s="52"/>
      <c r="B42" s="45" t="s">
        <v>82</v>
      </c>
      <c r="C42" s="46" t="s">
        <v>83</v>
      </c>
      <c r="D42" s="35">
        <f>COUNTIF([2]Peru!$V:$V,"*oa*")</f>
        <v>7</v>
      </c>
      <c r="E42" s="38">
        <f t="shared" si="3"/>
        <v>0.41176470588235292</v>
      </c>
      <c r="F42" s="35"/>
    </row>
    <row r="43" spans="1:9" outlineLevel="1" x14ac:dyDescent="0.25">
      <c r="A43" s="52"/>
      <c r="B43" s="45" t="s">
        <v>66</v>
      </c>
      <c r="C43" s="47" t="s">
        <v>85</v>
      </c>
      <c r="D43" s="35">
        <f>COUNTIF([2]Peru!$V:$V,"ns")</f>
        <v>0</v>
      </c>
      <c r="E43" s="38">
        <f t="shared" si="3"/>
        <v>0</v>
      </c>
      <c r="F43" s="35"/>
    </row>
    <row r="44" spans="1:9" outlineLevel="1" x14ac:dyDescent="0.25">
      <c r="A44" s="52"/>
      <c r="B44" s="45"/>
      <c r="C44" s="46" t="s">
        <v>191</v>
      </c>
      <c r="D44" s="35">
        <f>COUNTBLANK([2]Peru!$V2:$V18)</f>
        <v>3</v>
      </c>
      <c r="E44" s="38">
        <f t="shared" si="3"/>
        <v>0.17647058823529413</v>
      </c>
      <c r="F44" s="35"/>
    </row>
    <row r="45" spans="1:9" outlineLevel="1" x14ac:dyDescent="0.25">
      <c r="A45" s="52"/>
      <c r="B45" s="45"/>
      <c r="C45" s="47"/>
      <c r="D45" s="15"/>
      <c r="E45" s="38"/>
      <c r="F45" s="35"/>
    </row>
    <row r="46" spans="1:9" outlineLevel="1" x14ac:dyDescent="0.25">
      <c r="A46" s="56" t="s">
        <v>147</v>
      </c>
      <c r="B46" s="56"/>
      <c r="C46" s="56" t="s">
        <v>147</v>
      </c>
      <c r="D46" s="57"/>
      <c r="E46" s="35"/>
      <c r="F46" s="35"/>
    </row>
    <row r="47" spans="1:9" outlineLevel="1" x14ac:dyDescent="0.25">
      <c r="A47" s="52"/>
      <c r="B47" s="45">
        <v>4</v>
      </c>
      <c r="C47" s="47" t="s">
        <v>153</v>
      </c>
      <c r="D47" s="35">
        <f>COUNTIF([2]Peru!$Y:$Y,"4")+COUNTIF([2]Peru!$AY:$AY,"4")</f>
        <v>14</v>
      </c>
      <c r="E47" s="38">
        <f t="shared" ref="E47:E51" si="4">D47/$D$21</f>
        <v>0.82352941176470584</v>
      </c>
      <c r="F47" s="35"/>
    </row>
    <row r="48" spans="1:9" outlineLevel="1" x14ac:dyDescent="0.25">
      <c r="A48" s="52"/>
      <c r="B48" s="45">
        <v>3</v>
      </c>
      <c r="C48" s="47" t="s">
        <v>154</v>
      </c>
      <c r="D48" s="35">
        <f>COUNTIF([2]Peru!$Y:$Y,"3")+COUNTIF([2]Peru!$AY:$AY,"3")</f>
        <v>0</v>
      </c>
      <c r="E48" s="38">
        <f t="shared" si="4"/>
        <v>0</v>
      </c>
      <c r="F48" s="35"/>
    </row>
    <row r="49" spans="1:9" outlineLevel="1" x14ac:dyDescent="0.25">
      <c r="A49" s="52"/>
      <c r="B49" s="45">
        <v>2</v>
      </c>
      <c r="C49" s="47" t="s">
        <v>155</v>
      </c>
      <c r="D49" s="35">
        <f>COUNTIF([2]Peru!$Y:$Y,"2")+COUNTIF([2]Peru!$AY:$AY,"2")</f>
        <v>0</v>
      </c>
      <c r="E49" s="38">
        <f t="shared" si="4"/>
        <v>0</v>
      </c>
      <c r="F49" s="35"/>
    </row>
    <row r="50" spans="1:9" outlineLevel="1" x14ac:dyDescent="0.25">
      <c r="A50" s="52"/>
      <c r="B50" s="45">
        <v>1</v>
      </c>
      <c r="C50" s="47" t="s">
        <v>156</v>
      </c>
      <c r="D50" s="35">
        <f>COUNTIF([2]Peru!$Y:$Y,"1")+COUNTIF([2]Peru!$AY:$AY,"1")</f>
        <v>0</v>
      </c>
      <c r="E50" s="38">
        <f t="shared" si="4"/>
        <v>0</v>
      </c>
      <c r="F50" s="35"/>
    </row>
    <row r="51" spans="1:9" outlineLevel="1" x14ac:dyDescent="0.25">
      <c r="A51" s="52"/>
      <c r="B51" s="45">
        <v>0</v>
      </c>
      <c r="C51" s="46" t="s">
        <v>157</v>
      </c>
      <c r="D51" s="35">
        <f>COUNTIF([2]Peru!$Y:$Y,"0")+COUNTIF([2]Peru!$AY:$AY,"0")</f>
        <v>3</v>
      </c>
      <c r="E51" s="38">
        <f t="shared" si="4"/>
        <v>0.17647058823529413</v>
      </c>
      <c r="F51" s="35"/>
    </row>
    <row r="52" spans="1:9" x14ac:dyDescent="0.25">
      <c r="A52" s="52"/>
      <c r="B52" s="52"/>
      <c r="C52" s="46"/>
      <c r="D52" s="15">
        <f>SUM(D47:D51)</f>
        <v>17</v>
      </c>
      <c r="E52" s="27">
        <f>SUM(E47:E51)</f>
        <v>1</v>
      </c>
      <c r="F52" s="35"/>
    </row>
    <row r="53" spans="1:9" x14ac:dyDescent="0.25">
      <c r="A53" s="49" t="s">
        <v>121</v>
      </c>
      <c r="B53" s="49"/>
      <c r="C53" s="50" t="s">
        <v>122</v>
      </c>
      <c r="D53" s="35"/>
      <c r="E53" s="35"/>
      <c r="F53" s="35"/>
    </row>
    <row r="54" spans="1:9" x14ac:dyDescent="0.25">
      <c r="A54" s="51" t="s">
        <v>123</v>
      </c>
      <c r="B54" s="51"/>
      <c r="C54" s="55" t="s">
        <v>124</v>
      </c>
      <c r="D54" s="35"/>
      <c r="E54" s="35"/>
      <c r="F54" s="35"/>
    </row>
    <row r="55" spans="1:9" x14ac:dyDescent="0.25">
      <c r="A55" s="52"/>
      <c r="B55" s="45">
        <v>1</v>
      </c>
      <c r="C55" s="46" t="s">
        <v>91</v>
      </c>
      <c r="D55" s="35">
        <f>COUNTIF([2]Peru!$Z:$Z,"1")</f>
        <v>6</v>
      </c>
      <c r="E55" s="38">
        <f t="shared" ref="E55:E58" si="5">D55/$D$21</f>
        <v>0.35294117647058826</v>
      </c>
      <c r="F55" s="35"/>
    </row>
    <row r="56" spans="1:9" x14ac:dyDescent="0.25">
      <c r="A56" s="52"/>
      <c r="B56" s="45">
        <v>2</v>
      </c>
      <c r="C56" s="46" t="s">
        <v>93</v>
      </c>
      <c r="D56" s="35">
        <f>COUNTIF([2]Peru!$Z:$Z,"2")</f>
        <v>7</v>
      </c>
      <c r="E56" s="38">
        <f t="shared" si="5"/>
        <v>0.41176470588235292</v>
      </c>
      <c r="F56" s="35"/>
    </row>
    <row r="57" spans="1:9" x14ac:dyDescent="0.25">
      <c r="A57" s="52"/>
      <c r="B57" s="45">
        <v>0</v>
      </c>
      <c r="C57" s="46" t="s">
        <v>183</v>
      </c>
      <c r="D57" s="35">
        <f>COUNTIF([2]Peru!$Z:$Z,"0")</f>
        <v>1</v>
      </c>
      <c r="E57" s="38">
        <f t="shared" si="5"/>
        <v>5.8823529411764705E-2</v>
      </c>
      <c r="F57" s="35"/>
    </row>
    <row r="58" spans="1:9" x14ac:dyDescent="0.25">
      <c r="A58" s="52"/>
      <c r="B58" s="45">
        <v>3</v>
      </c>
      <c r="C58" s="46" t="s">
        <v>184</v>
      </c>
      <c r="D58" s="35">
        <f>COUNTIF([2]Peru!$Z:$Z,"3")</f>
        <v>3</v>
      </c>
      <c r="E58" s="38">
        <f t="shared" si="5"/>
        <v>0.17647058823529413</v>
      </c>
      <c r="F58" s="35"/>
    </row>
    <row r="59" spans="1:9" x14ac:dyDescent="0.25">
      <c r="A59" s="52"/>
      <c r="B59" s="45"/>
      <c r="C59" s="46"/>
      <c r="D59" s="35">
        <f>SUM(D55:D58)</f>
        <v>17</v>
      </c>
      <c r="E59" s="38">
        <f>SUM(E55:E58)</f>
        <v>1</v>
      </c>
      <c r="F59" s="35"/>
    </row>
    <row r="60" spans="1:9" ht="45" x14ac:dyDescent="0.25">
      <c r="A60" s="51" t="s">
        <v>125</v>
      </c>
      <c r="B60" s="51"/>
      <c r="C60" s="55" t="s">
        <v>126</v>
      </c>
      <c r="D60" s="35"/>
      <c r="E60" s="35"/>
      <c r="F60" s="35"/>
    </row>
    <row r="61" spans="1:9" outlineLevel="1" x14ac:dyDescent="0.25">
      <c r="A61" s="52"/>
      <c r="B61" s="45" t="s">
        <v>53</v>
      </c>
      <c r="C61" s="46" t="s">
        <v>54</v>
      </c>
      <c r="D61" s="35">
        <f>COUNTIF([2]Peru!$AA:$AA,"*w*")</f>
        <v>12</v>
      </c>
      <c r="E61" s="38">
        <f t="shared" ref="E61:E68" si="6">D61/$D$21</f>
        <v>0.70588235294117652</v>
      </c>
      <c r="F61" s="35"/>
    </row>
    <row r="62" spans="1:9" outlineLevel="1" x14ac:dyDescent="0.25">
      <c r="A62" s="52"/>
      <c r="B62" s="45" t="s">
        <v>55</v>
      </c>
      <c r="C62" s="46" t="s">
        <v>56</v>
      </c>
      <c r="D62" s="35">
        <f>COUNTIF([2]Peru!$AA:$AA,"*g*")</f>
        <v>13</v>
      </c>
      <c r="E62" s="38">
        <f t="shared" si="6"/>
        <v>0.76470588235294112</v>
      </c>
      <c r="F62" s="35"/>
    </row>
    <row r="63" spans="1:9" outlineLevel="1" x14ac:dyDescent="0.25">
      <c r="A63" s="52"/>
      <c r="B63" s="45" t="s">
        <v>57</v>
      </c>
      <c r="C63" s="46" t="s">
        <v>58</v>
      </c>
      <c r="D63" s="35">
        <f>COUNTIF([2]Peru!$AA:$AA,"*b*")</f>
        <v>11</v>
      </c>
      <c r="E63" s="38">
        <f t="shared" si="6"/>
        <v>0.6470588235294118</v>
      </c>
      <c r="F63" s="35"/>
      <c r="G63" s="36" t="s">
        <v>192</v>
      </c>
      <c r="H63" s="35">
        <f>COUNTIF([2]Peru!$AA:$AA,"w g b m d")</f>
        <v>6</v>
      </c>
      <c r="I63" s="38">
        <f t="shared" ref="I63:I64" si="7">H63/$D$21</f>
        <v>0.35294117647058826</v>
      </c>
    </row>
    <row r="64" spans="1:9" outlineLevel="1" x14ac:dyDescent="0.25">
      <c r="A64" s="52"/>
      <c r="B64" s="45" t="s">
        <v>59</v>
      </c>
      <c r="C64" s="46" t="s">
        <v>60</v>
      </c>
      <c r="D64" s="35">
        <f>COUNTIF([2]Peru!$AA:$AA,"*m*")</f>
        <v>10</v>
      </c>
      <c r="E64" s="38">
        <f t="shared" si="6"/>
        <v>0.58823529411764708</v>
      </c>
      <c r="F64" s="35"/>
      <c r="G64" s="35" t="s">
        <v>193</v>
      </c>
      <c r="H64" s="35">
        <f>COUNTIF([2]Peru!$AA:$AA,"w g b m")</f>
        <v>2</v>
      </c>
      <c r="I64" s="38">
        <f t="shared" si="7"/>
        <v>0.11764705882352941</v>
      </c>
    </row>
    <row r="65" spans="1:9" outlineLevel="1" x14ac:dyDescent="0.25">
      <c r="A65" s="52"/>
      <c r="B65" s="45" t="s">
        <v>61</v>
      </c>
      <c r="C65" s="46" t="s">
        <v>62</v>
      </c>
      <c r="D65" s="35">
        <f>COUNTIF([2]Peru!$AA:$AA,"*d*")</f>
        <v>9</v>
      </c>
      <c r="E65" s="38">
        <f t="shared" si="6"/>
        <v>0.52941176470588236</v>
      </c>
      <c r="F65" s="35"/>
      <c r="G65" s="35"/>
      <c r="H65" s="35"/>
      <c r="I65" s="39"/>
    </row>
    <row r="66" spans="1:9" outlineLevel="1" x14ac:dyDescent="0.25">
      <c r="A66" s="52"/>
      <c r="B66" s="45" t="s">
        <v>66</v>
      </c>
      <c r="C66" s="46" t="s">
        <v>67</v>
      </c>
      <c r="D66" s="35">
        <f>COUNTIF([2]Peru!$AA:$AA,"ns")</f>
        <v>1</v>
      </c>
      <c r="E66" s="38">
        <f t="shared" si="6"/>
        <v>5.8823529411764705E-2</v>
      </c>
      <c r="F66" s="35"/>
    </row>
    <row r="67" spans="1:9" ht="30" x14ac:dyDescent="0.25">
      <c r="A67" s="52"/>
      <c r="B67" s="45" t="s">
        <v>70</v>
      </c>
      <c r="C67" s="46" t="s">
        <v>71</v>
      </c>
      <c r="D67" s="35">
        <f>COUNTIF([2]Peru!$AA:$AA,"eqa")</f>
        <v>2</v>
      </c>
      <c r="E67" s="38">
        <f t="shared" si="6"/>
        <v>0.11764705882352941</v>
      </c>
      <c r="F67" s="35"/>
    </row>
    <row r="68" spans="1:9" x14ac:dyDescent="0.25">
      <c r="A68" s="52"/>
      <c r="B68" s="45"/>
      <c r="C68" s="46" t="s">
        <v>191</v>
      </c>
      <c r="D68" s="35">
        <f>COUNTBLANK([2]Peru!AA$2:$AA$18)</f>
        <v>1</v>
      </c>
      <c r="E68" s="38">
        <f t="shared" si="6"/>
        <v>5.8823529411764705E-2</v>
      </c>
      <c r="F68" s="35"/>
    </row>
    <row r="69" spans="1:9" x14ac:dyDescent="0.25">
      <c r="A69" s="52"/>
      <c r="B69" s="45"/>
      <c r="C69" s="46"/>
      <c r="D69" s="35"/>
      <c r="E69" s="35"/>
      <c r="F69" s="35"/>
    </row>
    <row r="70" spans="1:9" ht="30" x14ac:dyDescent="0.25">
      <c r="A70" s="51" t="s">
        <v>128</v>
      </c>
      <c r="B70" s="51"/>
      <c r="C70" s="55" t="s">
        <v>127</v>
      </c>
      <c r="D70" s="35"/>
      <c r="E70" s="35"/>
      <c r="F70" s="35"/>
    </row>
    <row r="71" spans="1:9" outlineLevel="1" x14ac:dyDescent="0.25">
      <c r="A71" s="52"/>
      <c r="B71" s="45" t="s">
        <v>72</v>
      </c>
      <c r="C71" s="46" t="s">
        <v>73</v>
      </c>
      <c r="D71" s="35">
        <f>COUNTIF([2]Peru!$AB:$AB,"*yc*")</f>
        <v>9</v>
      </c>
      <c r="E71" s="38">
        <f t="shared" ref="E71:E78" si="8">D71/$D$21</f>
        <v>0.52941176470588236</v>
      </c>
      <c r="F71" s="35"/>
      <c r="G71" s="36" t="s">
        <v>195</v>
      </c>
      <c r="H71" s="35">
        <f>COUNTIF([2]Peru!$AB:$AB,"*yc ch ad ya ma oa*")</f>
        <v>4</v>
      </c>
      <c r="I71" s="38">
        <f t="shared" ref="I71" si="9">H71/$D$21</f>
        <v>0.23529411764705882</v>
      </c>
    </row>
    <row r="72" spans="1:9" outlineLevel="1" x14ac:dyDescent="0.25">
      <c r="A72" s="52"/>
      <c r="B72" s="45" t="s">
        <v>74</v>
      </c>
      <c r="C72" s="46" t="s">
        <v>75</v>
      </c>
      <c r="D72" s="35">
        <f>COUNTIF([2]Peru!$AB:$AB,"*ch*")</f>
        <v>12</v>
      </c>
      <c r="E72" s="38">
        <f t="shared" si="8"/>
        <v>0.70588235294117652</v>
      </c>
      <c r="F72" s="35"/>
    </row>
    <row r="73" spans="1:9" outlineLevel="1" x14ac:dyDescent="0.25">
      <c r="A73" s="52"/>
      <c r="B73" s="45" t="s">
        <v>76</v>
      </c>
      <c r="C73" s="46" t="s">
        <v>77</v>
      </c>
      <c r="D73" s="35">
        <f>COUNTIF([2]Peru!$AB:$AB,"*ad*")</f>
        <v>13</v>
      </c>
      <c r="E73" s="38">
        <f t="shared" si="8"/>
        <v>0.76470588235294112</v>
      </c>
      <c r="F73" s="35"/>
    </row>
    <row r="74" spans="1:9" outlineLevel="1" x14ac:dyDescent="0.25">
      <c r="A74" s="52"/>
      <c r="B74" s="45" t="s">
        <v>78</v>
      </c>
      <c r="C74" s="46" t="s">
        <v>79</v>
      </c>
      <c r="D74" s="35">
        <f>COUNTIF([2]Peru!$AB:$AB,"*ya*")</f>
        <v>14</v>
      </c>
      <c r="E74" s="38">
        <f t="shared" si="8"/>
        <v>0.82352941176470584</v>
      </c>
      <c r="F74" s="35"/>
    </row>
    <row r="75" spans="1:9" outlineLevel="1" x14ac:dyDescent="0.25">
      <c r="A75" s="52"/>
      <c r="B75" s="45" t="s">
        <v>80</v>
      </c>
      <c r="C75" s="46" t="s">
        <v>81</v>
      </c>
      <c r="D75" s="35">
        <f>COUNTIF([2]Peru!$AB:$AB,"*ma*")</f>
        <v>10</v>
      </c>
      <c r="E75" s="38">
        <f t="shared" si="8"/>
        <v>0.58823529411764708</v>
      </c>
      <c r="F75" s="35"/>
    </row>
    <row r="76" spans="1:9" outlineLevel="1" x14ac:dyDescent="0.25">
      <c r="A76" s="52"/>
      <c r="B76" s="45" t="s">
        <v>82</v>
      </c>
      <c r="C76" s="46" t="s">
        <v>83</v>
      </c>
      <c r="D76" s="35">
        <f>COUNTIF([2]Peru!$AB:$AB,"*oa*")</f>
        <v>7</v>
      </c>
      <c r="E76" s="38">
        <f t="shared" si="8"/>
        <v>0.41176470588235292</v>
      </c>
      <c r="F76" s="35"/>
    </row>
    <row r="77" spans="1:9" outlineLevel="1" x14ac:dyDescent="0.25">
      <c r="A77" s="52"/>
      <c r="B77" s="45" t="s">
        <v>66</v>
      </c>
      <c r="C77" s="47" t="s">
        <v>85</v>
      </c>
      <c r="D77" s="35">
        <f>COUNTIF([2]Peru!$AB:$AB,"ns")</f>
        <v>1</v>
      </c>
      <c r="E77" s="38">
        <f t="shared" si="8"/>
        <v>5.8823529411764705E-2</v>
      </c>
      <c r="F77" s="35"/>
    </row>
    <row r="78" spans="1:9" outlineLevel="1" x14ac:dyDescent="0.25">
      <c r="A78" s="52"/>
      <c r="B78" s="45"/>
      <c r="C78" s="46" t="s">
        <v>191</v>
      </c>
      <c r="D78" s="35">
        <f>COUNTBLANK([2]Peru!AB$2:$AB$18)</f>
        <v>1</v>
      </c>
      <c r="E78" s="38">
        <f t="shared" si="8"/>
        <v>5.8823529411764705E-2</v>
      </c>
      <c r="F78" s="35"/>
    </row>
    <row r="79" spans="1:9" outlineLevel="1" x14ac:dyDescent="0.25">
      <c r="A79" s="52"/>
      <c r="B79" s="45"/>
      <c r="C79" s="47"/>
      <c r="D79" s="35"/>
      <c r="E79" s="35"/>
      <c r="F79" s="35"/>
    </row>
    <row r="80" spans="1:9" outlineLevel="1" x14ac:dyDescent="0.25">
      <c r="A80" s="56" t="s">
        <v>148</v>
      </c>
      <c r="B80" s="56"/>
      <c r="C80" s="56" t="s">
        <v>148</v>
      </c>
      <c r="D80" s="57"/>
      <c r="E80" s="35"/>
      <c r="F80" s="35"/>
    </row>
    <row r="81" spans="1:9" outlineLevel="1" x14ac:dyDescent="0.25">
      <c r="A81" s="52"/>
      <c r="B81" s="45">
        <v>4</v>
      </c>
      <c r="C81" s="47" t="s">
        <v>153</v>
      </c>
      <c r="D81" s="35">
        <f>COUNTIF([2]Peru!$AE:$AE,"4")+COUNTIF([2]Peru!$BN:$BN,"4")</f>
        <v>13</v>
      </c>
      <c r="E81" s="38">
        <f t="shared" ref="E81:E85" si="10">D81/$D$21</f>
        <v>0.76470588235294112</v>
      </c>
      <c r="F81" s="35"/>
    </row>
    <row r="82" spans="1:9" outlineLevel="1" x14ac:dyDescent="0.25">
      <c r="A82" s="52"/>
      <c r="B82" s="45">
        <v>3</v>
      </c>
      <c r="C82" s="47" t="s">
        <v>154</v>
      </c>
      <c r="D82" s="35">
        <f>COUNTIF([2]Peru!$AE:$AE,"3")+COUNTIF([2]Peru!$BN:$BN,"3")</f>
        <v>0</v>
      </c>
      <c r="E82" s="38">
        <f t="shared" si="10"/>
        <v>0</v>
      </c>
      <c r="F82" s="35"/>
    </row>
    <row r="83" spans="1:9" outlineLevel="1" x14ac:dyDescent="0.25">
      <c r="A83" s="52"/>
      <c r="B83" s="45">
        <v>2</v>
      </c>
      <c r="C83" s="47" t="s">
        <v>155</v>
      </c>
      <c r="D83" s="35">
        <f>COUNTIF([2]Peru!$AE:$AE,"2")+COUNTIF([2]Peru!$BN:$BN,"2")</f>
        <v>2</v>
      </c>
      <c r="E83" s="38">
        <f t="shared" si="10"/>
        <v>0.11764705882352941</v>
      </c>
      <c r="F83" s="35"/>
    </row>
    <row r="84" spans="1:9" outlineLevel="1" x14ac:dyDescent="0.25">
      <c r="A84" s="52"/>
      <c r="B84" s="45">
        <v>1</v>
      </c>
      <c r="C84" s="47" t="s">
        <v>156</v>
      </c>
      <c r="D84" s="35">
        <f>COUNTIF([2]Peru!$AE:$AE,"1")+COUNTIF([2]Peru!$BN:$BN,"1")</f>
        <v>1</v>
      </c>
      <c r="E84" s="38">
        <f t="shared" si="10"/>
        <v>5.8823529411764705E-2</v>
      </c>
      <c r="F84" s="35"/>
    </row>
    <row r="85" spans="1:9" outlineLevel="1" x14ac:dyDescent="0.25">
      <c r="A85" s="52"/>
      <c r="B85" s="45">
        <v>0</v>
      </c>
      <c r="C85" s="46" t="s">
        <v>158</v>
      </c>
      <c r="D85" s="35">
        <f>COUNTIF([2]Peru!$AE:$AE,"0")+COUNTIF([2]Peru!$BN:$BN,"0")</f>
        <v>1</v>
      </c>
      <c r="E85" s="38">
        <f t="shared" si="10"/>
        <v>5.8823529411764705E-2</v>
      </c>
      <c r="F85" s="35"/>
    </row>
    <row r="86" spans="1:9" x14ac:dyDescent="0.25">
      <c r="A86" s="52"/>
      <c r="B86" s="45"/>
      <c r="C86" s="46"/>
      <c r="D86" s="35">
        <f>SUM(D81:D85)</f>
        <v>17</v>
      </c>
      <c r="E86" s="35"/>
      <c r="F86" s="35"/>
    </row>
    <row r="87" spans="1:9" x14ac:dyDescent="0.25">
      <c r="A87" s="49" t="s">
        <v>130</v>
      </c>
      <c r="B87" s="49"/>
      <c r="C87" s="50" t="s">
        <v>129</v>
      </c>
      <c r="D87" s="35"/>
      <c r="E87" s="35"/>
      <c r="F87" s="35"/>
    </row>
    <row r="88" spans="1:9" ht="45" x14ac:dyDescent="0.25">
      <c r="A88" s="51" t="s">
        <v>131</v>
      </c>
      <c r="B88" s="51"/>
      <c r="C88" s="58" t="s">
        <v>132</v>
      </c>
      <c r="D88" s="35"/>
      <c r="E88" s="35"/>
      <c r="F88" s="35"/>
    </row>
    <row r="89" spans="1:9" x14ac:dyDescent="0.25">
      <c r="A89" s="52"/>
      <c r="B89" s="45">
        <v>1</v>
      </c>
      <c r="C89" s="46" t="s">
        <v>94</v>
      </c>
      <c r="D89" s="35">
        <f>COUNTIF([2]Peru!$AF:$AF,"*1*")</f>
        <v>15</v>
      </c>
      <c r="E89" s="38">
        <f t="shared" ref="E89:E93" si="11">D89/$D$21</f>
        <v>0.88235294117647056</v>
      </c>
      <c r="F89" s="35"/>
      <c r="G89" s="36" t="s">
        <v>195</v>
      </c>
      <c r="H89" s="35">
        <f>COUNTIF([2]Peru!$AF:$AF,"1 2 3 4")</f>
        <v>2</v>
      </c>
      <c r="I89" s="38">
        <f t="shared" ref="I89" si="12">H89/$D$21</f>
        <v>0.11764705882352941</v>
      </c>
    </row>
    <row r="90" spans="1:9" x14ac:dyDescent="0.25">
      <c r="A90" s="52"/>
      <c r="B90" s="45">
        <v>2</v>
      </c>
      <c r="C90" s="46" t="s">
        <v>95</v>
      </c>
      <c r="D90" s="35">
        <f>COUNTIF([2]Peru!$AF:$AF,"*2*")</f>
        <v>10</v>
      </c>
      <c r="E90" s="38">
        <f t="shared" si="11"/>
        <v>0.58823529411764708</v>
      </c>
      <c r="F90" s="35"/>
    </row>
    <row r="91" spans="1:9" x14ac:dyDescent="0.25">
      <c r="A91" s="52"/>
      <c r="B91" s="45">
        <v>3</v>
      </c>
      <c r="C91" s="46" t="s">
        <v>96</v>
      </c>
      <c r="D91" s="35">
        <f>COUNTIF([2]Peru!$AF:$AF,"*3*")</f>
        <v>6</v>
      </c>
      <c r="E91" s="38">
        <f t="shared" si="11"/>
        <v>0.35294117647058826</v>
      </c>
      <c r="F91" s="35"/>
    </row>
    <row r="92" spans="1:9" x14ac:dyDescent="0.25">
      <c r="A92" s="52"/>
      <c r="B92" s="45">
        <v>4</v>
      </c>
      <c r="C92" s="46" t="s">
        <v>160</v>
      </c>
      <c r="D92" s="35">
        <f>COUNTIF([2]Peru!$AF:$AF,"*4*")</f>
        <v>6</v>
      </c>
      <c r="E92" s="38">
        <f t="shared" si="11"/>
        <v>0.35294117647058826</v>
      </c>
      <c r="F92" s="35"/>
    </row>
    <row r="93" spans="1:9" x14ac:dyDescent="0.25">
      <c r="A93" s="52"/>
      <c r="B93" s="45">
        <v>0</v>
      </c>
      <c r="C93" s="46" t="s">
        <v>159</v>
      </c>
      <c r="D93" s="35">
        <f>COUNTIF([2]Peru!$AF:$AF,"0")</f>
        <v>1</v>
      </c>
      <c r="E93" s="38">
        <f t="shared" si="11"/>
        <v>5.8823529411764705E-2</v>
      </c>
      <c r="F93" s="35"/>
    </row>
    <row r="94" spans="1:9" x14ac:dyDescent="0.25">
      <c r="A94" s="52"/>
      <c r="B94" s="45"/>
      <c r="C94" s="46"/>
      <c r="D94" s="35"/>
      <c r="E94" s="35"/>
      <c r="F94" s="35"/>
    </row>
    <row r="95" spans="1:9" x14ac:dyDescent="0.25">
      <c r="A95" s="51" t="s">
        <v>133</v>
      </c>
      <c r="B95" s="51"/>
      <c r="C95" s="59" t="s">
        <v>134</v>
      </c>
      <c r="D95" s="35"/>
      <c r="E95" s="35"/>
      <c r="F95" s="35"/>
    </row>
    <row r="96" spans="1:9" outlineLevel="1" x14ac:dyDescent="0.25">
      <c r="A96" s="52"/>
      <c r="B96" s="45" t="s">
        <v>53</v>
      </c>
      <c r="C96" s="46" t="s">
        <v>54</v>
      </c>
      <c r="D96" s="35">
        <f>COUNTIF([2]Peru!$AG:$AG,"*w*")</f>
        <v>14</v>
      </c>
      <c r="E96" s="38">
        <f t="shared" ref="E96:E102" si="13">D96/$D$21</f>
        <v>0.82352941176470584</v>
      </c>
      <c r="F96" s="35"/>
    </row>
    <row r="97" spans="1:9" outlineLevel="1" x14ac:dyDescent="0.25">
      <c r="A97" s="52"/>
      <c r="B97" s="45" t="s">
        <v>55</v>
      </c>
      <c r="C97" s="46" t="s">
        <v>56</v>
      </c>
      <c r="D97" s="35">
        <f>COUNTIF([2]Peru!$AG:$AG,"*g*")</f>
        <v>10</v>
      </c>
      <c r="E97" s="38">
        <f t="shared" si="13"/>
        <v>0.58823529411764708</v>
      </c>
      <c r="F97" s="35"/>
      <c r="G97" s="36" t="s">
        <v>192</v>
      </c>
      <c r="H97" s="35">
        <f>COUNTIF([2]Peru!$AG:$AG,"w g b m d")</f>
        <v>5</v>
      </c>
      <c r="I97" s="38">
        <f t="shared" ref="I97:I99" si="14">H97/$D$21</f>
        <v>0.29411764705882354</v>
      </c>
    </row>
    <row r="98" spans="1:9" outlineLevel="1" x14ac:dyDescent="0.25">
      <c r="A98" s="52"/>
      <c r="B98" s="45" t="s">
        <v>57</v>
      </c>
      <c r="C98" s="46" t="s">
        <v>58</v>
      </c>
      <c r="D98" s="35">
        <f>COUNTIF([2]Peru!$AG:$AG,"*b*")</f>
        <v>9</v>
      </c>
      <c r="E98" s="38">
        <f t="shared" si="13"/>
        <v>0.52941176470588236</v>
      </c>
      <c r="F98" s="35"/>
      <c r="G98" s="35" t="s">
        <v>193</v>
      </c>
      <c r="H98" s="35">
        <f>COUNTIF([2]Peru!$AG:$AG,"w g b m")</f>
        <v>1</v>
      </c>
      <c r="I98" s="38">
        <f t="shared" si="14"/>
        <v>5.8823529411764705E-2</v>
      </c>
    </row>
    <row r="99" spans="1:9" outlineLevel="1" x14ac:dyDescent="0.25">
      <c r="A99" s="52"/>
      <c r="B99" s="45" t="s">
        <v>59</v>
      </c>
      <c r="C99" s="46" t="s">
        <v>60</v>
      </c>
      <c r="D99" s="35">
        <f>COUNTIF([2]Peru!$AG:$AG,"*m*")</f>
        <v>12</v>
      </c>
      <c r="E99" s="38">
        <f t="shared" si="13"/>
        <v>0.70588235294117652</v>
      </c>
      <c r="F99" s="35"/>
      <c r="G99" s="35" t="s">
        <v>194</v>
      </c>
      <c r="H99" s="35">
        <f>COUNTIF([2]Peru!$AG:$AG,"d")</f>
        <v>0</v>
      </c>
      <c r="I99" s="38">
        <f t="shared" si="14"/>
        <v>0</v>
      </c>
    </row>
    <row r="100" spans="1:9" outlineLevel="1" x14ac:dyDescent="0.25">
      <c r="A100" s="52"/>
      <c r="B100" s="45" t="s">
        <v>61</v>
      </c>
      <c r="C100" s="46" t="s">
        <v>62</v>
      </c>
      <c r="D100" s="35">
        <f>COUNTIF([2]Peru!$AG:$AG,"*d*")</f>
        <v>10</v>
      </c>
      <c r="E100" s="38">
        <f t="shared" si="13"/>
        <v>0.58823529411764708</v>
      </c>
      <c r="F100" s="35"/>
    </row>
    <row r="101" spans="1:9" outlineLevel="1" x14ac:dyDescent="0.25">
      <c r="A101" s="52"/>
      <c r="B101" s="45" t="s">
        <v>66</v>
      </c>
      <c r="C101" s="46" t="s">
        <v>67</v>
      </c>
      <c r="D101" s="35">
        <f>COUNTIF([2]Peru!$AG:$AG,"ns")</f>
        <v>1</v>
      </c>
      <c r="E101" s="38">
        <f t="shared" si="13"/>
        <v>5.8823529411764705E-2</v>
      </c>
      <c r="F101" s="35"/>
    </row>
    <row r="102" spans="1:9" outlineLevel="1" x14ac:dyDescent="0.25">
      <c r="A102" s="52"/>
      <c r="B102" s="45"/>
      <c r="C102" s="46" t="s">
        <v>191</v>
      </c>
      <c r="D102" s="35">
        <f>COUNTBLANK([2]Peru!AG$2:$AG$18)</f>
        <v>1</v>
      </c>
      <c r="E102" s="38">
        <f t="shared" si="13"/>
        <v>5.8823529411764705E-2</v>
      </c>
      <c r="F102" s="35"/>
    </row>
    <row r="103" spans="1:9" x14ac:dyDescent="0.25">
      <c r="A103" s="52"/>
      <c r="B103" s="45"/>
      <c r="C103" s="46"/>
      <c r="D103" s="35"/>
      <c r="E103" s="35"/>
      <c r="F103" s="35"/>
    </row>
    <row r="104" spans="1:9" ht="30" x14ac:dyDescent="0.25">
      <c r="A104" s="51" t="s">
        <v>136</v>
      </c>
      <c r="B104" s="51"/>
      <c r="C104" s="55" t="s">
        <v>135</v>
      </c>
      <c r="D104" s="35"/>
      <c r="E104" s="35"/>
      <c r="F104" s="35"/>
    </row>
    <row r="105" spans="1:9" outlineLevel="1" x14ac:dyDescent="0.25">
      <c r="A105" s="52"/>
      <c r="B105" s="45" t="s">
        <v>72</v>
      </c>
      <c r="C105" s="46" t="s">
        <v>73</v>
      </c>
      <c r="D105" s="35">
        <f>COUNTIF([2]Peru!$AH:$AH,"*yc*")</f>
        <v>4</v>
      </c>
      <c r="E105" s="38">
        <f t="shared" ref="E105:E112" si="15">D105/$D$21</f>
        <v>0.23529411764705882</v>
      </c>
      <c r="F105" s="35"/>
      <c r="G105" s="36" t="s">
        <v>195</v>
      </c>
      <c r="H105" s="35">
        <f>COUNTIF([2]Peru!$AH:$AH,"*YC ch ad ya ma oa*")</f>
        <v>3</v>
      </c>
      <c r="I105" s="38">
        <f t="shared" ref="I105" si="16">H105/$D$21</f>
        <v>0.17647058823529413</v>
      </c>
    </row>
    <row r="106" spans="1:9" outlineLevel="1" x14ac:dyDescent="0.25">
      <c r="A106" s="52"/>
      <c r="B106" s="45" t="s">
        <v>74</v>
      </c>
      <c r="C106" s="46" t="s">
        <v>75</v>
      </c>
      <c r="D106" s="35">
        <f>COUNTIF([2]Peru!$AH:$AH,"*ch*")</f>
        <v>7</v>
      </c>
      <c r="E106" s="38">
        <f t="shared" si="15"/>
        <v>0.41176470588235292</v>
      </c>
      <c r="F106" s="35"/>
    </row>
    <row r="107" spans="1:9" outlineLevel="1" x14ac:dyDescent="0.25">
      <c r="A107" s="52"/>
      <c r="B107" s="45" t="s">
        <v>76</v>
      </c>
      <c r="C107" s="46" t="s">
        <v>77</v>
      </c>
      <c r="D107" s="35">
        <f>COUNTIF([2]Peru!$AH:$AH,"*ad*")</f>
        <v>12</v>
      </c>
      <c r="E107" s="38">
        <f t="shared" si="15"/>
        <v>0.70588235294117652</v>
      </c>
      <c r="F107" s="35"/>
    </row>
    <row r="108" spans="1:9" outlineLevel="1" x14ac:dyDescent="0.25">
      <c r="A108" s="52"/>
      <c r="B108" s="45" t="s">
        <v>78</v>
      </c>
      <c r="C108" s="46" t="s">
        <v>79</v>
      </c>
      <c r="D108" s="35">
        <f>COUNTIF([2]Peru!$AH:$AH,"*ya*")</f>
        <v>13</v>
      </c>
      <c r="E108" s="38">
        <f t="shared" si="15"/>
        <v>0.76470588235294112</v>
      </c>
      <c r="F108" s="35"/>
    </row>
    <row r="109" spans="1:9" outlineLevel="1" x14ac:dyDescent="0.25">
      <c r="A109" s="52"/>
      <c r="B109" s="45" t="s">
        <v>80</v>
      </c>
      <c r="C109" s="46" t="s">
        <v>81</v>
      </c>
      <c r="D109" s="35">
        <f>COUNTIF([2]Peru!$AH:$AH,"*ma*")</f>
        <v>12</v>
      </c>
      <c r="E109" s="38">
        <f t="shared" si="15"/>
        <v>0.70588235294117652</v>
      </c>
      <c r="F109" s="35"/>
    </row>
    <row r="110" spans="1:9" outlineLevel="1" x14ac:dyDescent="0.25">
      <c r="A110" s="52"/>
      <c r="B110" s="45" t="s">
        <v>82</v>
      </c>
      <c r="C110" s="46" t="s">
        <v>83</v>
      </c>
      <c r="D110" s="35">
        <f>COUNTIF([2]Peru!$AH:$AH,"*oa*")</f>
        <v>6</v>
      </c>
      <c r="E110" s="38">
        <f t="shared" si="15"/>
        <v>0.35294117647058826</v>
      </c>
      <c r="F110" s="35"/>
    </row>
    <row r="111" spans="1:9" outlineLevel="1" x14ac:dyDescent="0.25">
      <c r="A111" s="52"/>
      <c r="B111" s="45" t="s">
        <v>66</v>
      </c>
      <c r="C111" s="47" t="s">
        <v>85</v>
      </c>
      <c r="D111" s="35">
        <f>COUNTIF([2]Peru!$AH:$AH,"ns")</f>
        <v>2</v>
      </c>
      <c r="E111" s="38">
        <f t="shared" si="15"/>
        <v>0.11764705882352941</v>
      </c>
      <c r="F111" s="35"/>
    </row>
    <row r="112" spans="1:9" outlineLevel="1" x14ac:dyDescent="0.25">
      <c r="A112" s="52"/>
      <c r="B112" s="45"/>
      <c r="C112" s="46" t="s">
        <v>191</v>
      </c>
      <c r="D112" s="35">
        <f>COUNTBLANK([2]Peru!AH$2:$AH$18)</f>
        <v>1</v>
      </c>
      <c r="E112" s="38">
        <f t="shared" si="15"/>
        <v>5.8823529411764705E-2</v>
      </c>
      <c r="F112" s="35"/>
    </row>
    <row r="113" spans="1:8" outlineLevel="1" x14ac:dyDescent="0.25">
      <c r="A113" s="52"/>
      <c r="B113" s="45"/>
      <c r="C113" s="46"/>
      <c r="D113" s="35"/>
      <c r="E113" s="38"/>
      <c r="F113" s="35"/>
    </row>
    <row r="114" spans="1:8" outlineLevel="1" x14ac:dyDescent="0.25">
      <c r="A114" s="56" t="s">
        <v>150</v>
      </c>
      <c r="B114" s="56"/>
      <c r="C114" s="56" t="s">
        <v>150</v>
      </c>
      <c r="D114" s="57"/>
      <c r="E114" s="35"/>
      <c r="F114" s="35"/>
    </row>
    <row r="115" spans="1:8" outlineLevel="1" x14ac:dyDescent="0.25">
      <c r="A115" s="52"/>
      <c r="B115" s="45">
        <v>4</v>
      </c>
      <c r="C115" s="47" t="s">
        <v>153</v>
      </c>
      <c r="D115" s="35">
        <f>COUNTIF([2]Peru!$AK:$AK,"4")</f>
        <v>14</v>
      </c>
      <c r="E115" s="38">
        <f t="shared" ref="E115:E119" si="17">D115/$D$21</f>
        <v>0.82352941176470584</v>
      </c>
      <c r="F115" s="35"/>
    </row>
    <row r="116" spans="1:8" outlineLevel="1" x14ac:dyDescent="0.25">
      <c r="A116" s="52"/>
      <c r="B116" s="45">
        <v>3</v>
      </c>
      <c r="C116" s="47" t="s">
        <v>154</v>
      </c>
      <c r="D116" s="35">
        <f>COUNTIF([2]Peru!$AK:$AK,"3")</f>
        <v>1</v>
      </c>
      <c r="E116" s="38">
        <f t="shared" si="17"/>
        <v>5.8823529411764705E-2</v>
      </c>
      <c r="F116" s="35"/>
    </row>
    <row r="117" spans="1:8" outlineLevel="1" x14ac:dyDescent="0.25">
      <c r="A117" s="52"/>
      <c r="B117" s="45">
        <v>2</v>
      </c>
      <c r="C117" s="47" t="s">
        <v>155</v>
      </c>
      <c r="D117" s="35">
        <f>COUNTIF([2]Peru!$AK:$AK,"2")</f>
        <v>0</v>
      </c>
      <c r="E117" s="38">
        <f t="shared" si="17"/>
        <v>0</v>
      </c>
      <c r="F117" s="35"/>
    </row>
    <row r="118" spans="1:8" outlineLevel="1" x14ac:dyDescent="0.25">
      <c r="A118" s="52"/>
      <c r="B118" s="45">
        <v>1</v>
      </c>
      <c r="C118" s="47" t="s">
        <v>156</v>
      </c>
      <c r="D118" s="35">
        <f>COUNTIF([2]Peru!$AK:$AK,"1")</f>
        <v>1</v>
      </c>
      <c r="E118" s="38">
        <f t="shared" si="17"/>
        <v>5.8823529411764705E-2</v>
      </c>
      <c r="F118" s="35"/>
    </row>
    <row r="119" spans="1:8" outlineLevel="1" x14ac:dyDescent="0.25">
      <c r="A119" s="52"/>
      <c r="B119" s="45">
        <v>0</v>
      </c>
      <c r="C119" s="46" t="s">
        <v>166</v>
      </c>
      <c r="D119" s="35">
        <f>COUNTIF([2]Peru!$AK:$AK,"0")</f>
        <v>1</v>
      </c>
      <c r="E119" s="38">
        <f t="shared" si="17"/>
        <v>5.8823529411764705E-2</v>
      </c>
      <c r="F119" s="35"/>
    </row>
    <row r="120" spans="1:8" x14ac:dyDescent="0.25">
      <c r="A120" s="52"/>
      <c r="B120" s="45"/>
      <c r="C120" s="46"/>
      <c r="D120" s="35">
        <f>SUM(D115:D119)</f>
        <v>17</v>
      </c>
      <c r="E120" s="35"/>
      <c r="F120" s="35"/>
    </row>
    <row r="121" spans="1:8" x14ac:dyDescent="0.25">
      <c r="A121" s="49" t="s">
        <v>98</v>
      </c>
      <c r="B121" s="49"/>
      <c r="C121" s="50" t="s">
        <v>137</v>
      </c>
      <c r="D121" s="35"/>
      <c r="E121" s="35"/>
      <c r="F121" s="35"/>
    </row>
    <row r="122" spans="1:8" ht="30" x14ac:dyDescent="0.25">
      <c r="A122" s="51" t="s">
        <v>138</v>
      </c>
      <c r="B122" s="51"/>
      <c r="C122" s="58" t="s">
        <v>139</v>
      </c>
      <c r="D122" s="35"/>
      <c r="E122" s="35"/>
      <c r="F122" s="35"/>
    </row>
    <row r="123" spans="1:8" x14ac:dyDescent="0.25">
      <c r="A123" s="52"/>
      <c r="B123" s="45">
        <v>3</v>
      </c>
      <c r="C123" s="46" t="s">
        <v>161</v>
      </c>
      <c r="D123" s="35">
        <f>COUNTIF([2]Peru!$AL:$AL,"3")</f>
        <v>5</v>
      </c>
      <c r="E123" s="38">
        <f t="shared" ref="E123:E128" si="18">D123/$D$21</f>
        <v>0.29411764705882354</v>
      </c>
      <c r="F123" s="35"/>
      <c r="H123" s="35"/>
    </row>
    <row r="124" spans="1:8" x14ac:dyDescent="0.25">
      <c r="A124" s="52"/>
      <c r="B124" s="45">
        <v>2</v>
      </c>
      <c r="C124" s="46" t="s">
        <v>162</v>
      </c>
      <c r="D124" s="35">
        <f>COUNTIF([2]Peru!$AL:$AL,"2")</f>
        <v>5</v>
      </c>
      <c r="E124" s="38">
        <f t="shared" si="18"/>
        <v>0.29411764705882354</v>
      </c>
      <c r="F124" s="35"/>
    </row>
    <row r="125" spans="1:8" ht="30" x14ac:dyDescent="0.25">
      <c r="A125" s="52"/>
      <c r="B125" s="45" t="s">
        <v>185</v>
      </c>
      <c r="C125" s="46" t="s">
        <v>186</v>
      </c>
      <c r="D125" s="35">
        <f>COUNTIF([2]Peru!$AL:$AL,"3 2")</f>
        <v>5</v>
      </c>
      <c r="E125" s="38">
        <f t="shared" si="18"/>
        <v>0.29411764705882354</v>
      </c>
      <c r="F125" s="35"/>
    </row>
    <row r="126" spans="1:8" x14ac:dyDescent="0.25">
      <c r="A126" s="52"/>
      <c r="B126" s="45">
        <v>1</v>
      </c>
      <c r="C126" s="46" t="s">
        <v>164</v>
      </c>
      <c r="D126" s="35">
        <f>COUNTIF([2]Peru!$AL:$AL,"1")</f>
        <v>1</v>
      </c>
      <c r="E126" s="38">
        <f t="shared" si="18"/>
        <v>5.8823529411764705E-2</v>
      </c>
      <c r="F126" s="35"/>
    </row>
    <row r="127" spans="1:8" x14ac:dyDescent="0.25">
      <c r="A127" s="52"/>
      <c r="B127" s="45">
        <v>0</v>
      </c>
      <c r="C127" s="46" t="s">
        <v>163</v>
      </c>
      <c r="D127" s="35">
        <f>COUNTIF([2]Peru!$AL:$AL,"0")</f>
        <v>1</v>
      </c>
      <c r="E127" s="38">
        <f t="shared" si="18"/>
        <v>5.8823529411764705E-2</v>
      </c>
      <c r="F127" s="35"/>
    </row>
    <row r="128" spans="1:8" x14ac:dyDescent="0.25">
      <c r="A128" s="52"/>
      <c r="B128" s="45"/>
      <c r="C128" s="46"/>
      <c r="D128" s="35">
        <f>SUM(D123:D127)</f>
        <v>17</v>
      </c>
      <c r="E128" s="38">
        <f t="shared" si="18"/>
        <v>1</v>
      </c>
      <c r="F128" s="35"/>
    </row>
    <row r="129" spans="1:9" x14ac:dyDescent="0.25">
      <c r="A129" s="52"/>
      <c r="B129" s="45"/>
      <c r="C129" s="46"/>
      <c r="D129" s="35"/>
      <c r="E129" s="35"/>
      <c r="F129" s="35"/>
    </row>
    <row r="130" spans="1:9" x14ac:dyDescent="0.25">
      <c r="A130" s="51" t="s">
        <v>140</v>
      </c>
      <c r="B130" s="51"/>
      <c r="C130" s="59" t="s">
        <v>141</v>
      </c>
      <c r="D130" s="35"/>
      <c r="E130" s="35"/>
      <c r="F130" s="35"/>
    </row>
    <row r="131" spans="1:9" outlineLevel="1" x14ac:dyDescent="0.25">
      <c r="A131" s="52"/>
      <c r="B131" s="45" t="s">
        <v>53</v>
      </c>
      <c r="C131" s="46" t="s">
        <v>54</v>
      </c>
      <c r="D131" s="35">
        <f>COUNTIF([2]Peru!$AM:$AM,"*w*")</f>
        <v>15</v>
      </c>
      <c r="E131" s="38">
        <f t="shared" ref="E131:E139" si="19">D131/$D$21</f>
        <v>0.88235294117647056</v>
      </c>
      <c r="F131" s="35"/>
      <c r="G131" s="36" t="s">
        <v>192</v>
      </c>
      <c r="H131" s="35">
        <f>COUNTIF([2]Peru!$AM:$AM,"w g b m d")</f>
        <v>4</v>
      </c>
      <c r="I131" s="38">
        <f t="shared" ref="I131:I133" si="20">H131/$D$21</f>
        <v>0.23529411764705882</v>
      </c>
    </row>
    <row r="132" spans="1:9" outlineLevel="1" x14ac:dyDescent="0.25">
      <c r="A132" s="52"/>
      <c r="B132" s="45" t="s">
        <v>55</v>
      </c>
      <c r="C132" s="46" t="s">
        <v>56</v>
      </c>
      <c r="D132" s="35">
        <f>COUNTIF([2]Peru!$AM:$AM,"*g*")</f>
        <v>15</v>
      </c>
      <c r="E132" s="38">
        <f t="shared" si="19"/>
        <v>0.88235294117647056</v>
      </c>
      <c r="F132" s="35"/>
      <c r="G132" s="35" t="s">
        <v>193</v>
      </c>
      <c r="H132" s="35">
        <f>COUNTIF([2]Peru!$AM:$AM,"w g b m")</f>
        <v>7</v>
      </c>
      <c r="I132" s="38">
        <f t="shared" si="20"/>
        <v>0.41176470588235292</v>
      </c>
    </row>
    <row r="133" spans="1:9" outlineLevel="1" x14ac:dyDescent="0.25">
      <c r="A133" s="52"/>
      <c r="B133" s="45" t="s">
        <v>57</v>
      </c>
      <c r="C133" s="46" t="s">
        <v>58</v>
      </c>
      <c r="D133" s="35">
        <f>COUNTIF([2]Peru!$AM:$AM,"*b*")</f>
        <v>13</v>
      </c>
      <c r="E133" s="38">
        <f t="shared" si="19"/>
        <v>0.76470588235294112</v>
      </c>
      <c r="F133" s="35"/>
      <c r="G133" s="35" t="s">
        <v>194</v>
      </c>
      <c r="H133" s="35">
        <f>COUNTIF([2]Peru!$AM:$AM,"d")</f>
        <v>0</v>
      </c>
      <c r="I133" s="39">
        <f t="shared" si="20"/>
        <v>0</v>
      </c>
    </row>
    <row r="134" spans="1:9" outlineLevel="1" x14ac:dyDescent="0.25">
      <c r="A134" s="52"/>
      <c r="B134" s="45" t="s">
        <v>59</v>
      </c>
      <c r="C134" s="46" t="s">
        <v>60</v>
      </c>
      <c r="D134" s="35">
        <f>COUNTIF([2]Peru!$AM:$AM,"*m*")</f>
        <v>13</v>
      </c>
      <c r="E134" s="38">
        <f t="shared" si="19"/>
        <v>0.76470588235294112</v>
      </c>
      <c r="F134" s="35"/>
    </row>
    <row r="135" spans="1:9" outlineLevel="1" x14ac:dyDescent="0.25">
      <c r="A135" s="52"/>
      <c r="B135" s="45" t="s">
        <v>61</v>
      </c>
      <c r="C135" s="46" t="s">
        <v>62</v>
      </c>
      <c r="D135" s="35">
        <f>COUNTIF([2]Peru!$AM:$AM,"*d*")</f>
        <v>7</v>
      </c>
      <c r="E135" s="38">
        <f t="shared" si="19"/>
        <v>0.41176470588235292</v>
      </c>
      <c r="F135" s="35"/>
    </row>
    <row r="136" spans="1:9" x14ac:dyDescent="0.25">
      <c r="A136" s="52"/>
      <c r="B136" s="45" t="s">
        <v>63</v>
      </c>
      <c r="C136" s="46" t="s">
        <v>176</v>
      </c>
      <c r="D136" s="35">
        <f>COUNTIF([2]Peru!$AM:$AM,"sgi")</f>
        <v>0</v>
      </c>
      <c r="E136" s="38">
        <f t="shared" si="19"/>
        <v>0</v>
      </c>
      <c r="F136" s="35"/>
    </row>
    <row r="137" spans="1:9" x14ac:dyDescent="0.25">
      <c r="A137" s="52"/>
      <c r="B137" s="45" t="s">
        <v>64</v>
      </c>
      <c r="C137" s="46" t="s">
        <v>65</v>
      </c>
      <c r="D137" s="35">
        <f>COUNTIF([2]Peru!$AM:$AM,"sgp")</f>
        <v>0</v>
      </c>
      <c r="E137" s="38">
        <f t="shared" si="19"/>
        <v>0</v>
      </c>
      <c r="F137" s="35"/>
    </row>
    <row r="138" spans="1:9" outlineLevel="1" x14ac:dyDescent="0.25">
      <c r="A138" s="52"/>
      <c r="B138" s="45" t="s">
        <v>66</v>
      </c>
      <c r="C138" s="46" t="s">
        <v>67</v>
      </c>
      <c r="D138" s="35">
        <f>COUNTIF([2]Peru!$AM:$AM,"ns")</f>
        <v>0</v>
      </c>
      <c r="E138" s="38">
        <f t="shared" si="19"/>
        <v>0</v>
      </c>
      <c r="F138" s="35"/>
    </row>
    <row r="139" spans="1:9" outlineLevel="1" x14ac:dyDescent="0.25">
      <c r="A139" s="52"/>
      <c r="B139" s="45"/>
      <c r="C139" s="46" t="s">
        <v>191</v>
      </c>
      <c r="D139" s="35">
        <f>COUNTBLANK([2]Peru!AM$2:$AM$18)</f>
        <v>1</v>
      </c>
      <c r="E139" s="38">
        <f t="shared" si="19"/>
        <v>5.8823529411764705E-2</v>
      </c>
      <c r="F139" s="35"/>
    </row>
    <row r="140" spans="1:9" x14ac:dyDescent="0.25">
      <c r="A140" s="52"/>
      <c r="B140" s="45"/>
      <c r="C140" s="46"/>
      <c r="D140" s="35"/>
      <c r="E140" s="35"/>
      <c r="F140" s="35"/>
    </row>
    <row r="141" spans="1:9" x14ac:dyDescent="0.25">
      <c r="A141" s="51" t="s">
        <v>142</v>
      </c>
      <c r="B141" s="51"/>
      <c r="C141" s="59" t="s">
        <v>143</v>
      </c>
      <c r="D141" s="35"/>
      <c r="E141" s="35"/>
      <c r="F141" s="35"/>
    </row>
    <row r="142" spans="1:9" outlineLevel="1" x14ac:dyDescent="0.25">
      <c r="A142" s="52"/>
      <c r="B142" s="45" t="s">
        <v>72</v>
      </c>
      <c r="C142" s="46" t="s">
        <v>73</v>
      </c>
      <c r="D142" s="35">
        <f>COUNTIF([2]Peru!$AN:$AN,"*YC*")</f>
        <v>8</v>
      </c>
      <c r="E142" s="38">
        <f t="shared" ref="E142:E151" si="21">D142/$D$21</f>
        <v>0.47058823529411764</v>
      </c>
      <c r="F142" s="35"/>
      <c r="G142" s="36" t="s">
        <v>195</v>
      </c>
      <c r="H142" s="35">
        <f>COUNTIF([2]Peru!$AN:$AN,"*yc ch ad ya ma oa*")</f>
        <v>4</v>
      </c>
      <c r="I142" s="38">
        <f t="shared" ref="I142" si="22">H142/$D$21</f>
        <v>0.23529411764705882</v>
      </c>
    </row>
    <row r="143" spans="1:9" outlineLevel="1" x14ac:dyDescent="0.25">
      <c r="A143" s="52"/>
      <c r="B143" s="45" t="s">
        <v>74</v>
      </c>
      <c r="C143" s="46" t="s">
        <v>75</v>
      </c>
      <c r="D143" s="35">
        <f>COUNTIF([2]Peru!$AN:$AN,"*ch*")</f>
        <v>12</v>
      </c>
      <c r="E143" s="38">
        <f t="shared" si="21"/>
        <v>0.70588235294117652</v>
      </c>
      <c r="F143" s="35"/>
    </row>
    <row r="144" spans="1:9" outlineLevel="1" x14ac:dyDescent="0.25">
      <c r="A144" s="52"/>
      <c r="B144" s="45" t="s">
        <v>76</v>
      </c>
      <c r="C144" s="46" t="s">
        <v>77</v>
      </c>
      <c r="D144" s="35">
        <f>COUNTIF([2]Peru!$AN:$AN,"*ad*")</f>
        <v>12</v>
      </c>
      <c r="E144" s="38">
        <f t="shared" si="21"/>
        <v>0.70588235294117652</v>
      </c>
      <c r="F144" s="35"/>
    </row>
    <row r="145" spans="1:6" outlineLevel="1" x14ac:dyDescent="0.25">
      <c r="A145" s="52"/>
      <c r="B145" s="45" t="s">
        <v>78</v>
      </c>
      <c r="C145" s="46" t="s">
        <v>79</v>
      </c>
      <c r="D145" s="35">
        <f>COUNTIF([2]Peru!$AN:$AN,"*ya*")</f>
        <v>13</v>
      </c>
      <c r="E145" s="38">
        <f t="shared" si="21"/>
        <v>0.76470588235294112</v>
      </c>
      <c r="F145" s="35"/>
    </row>
    <row r="146" spans="1:6" outlineLevel="1" x14ac:dyDescent="0.25">
      <c r="A146" s="52"/>
      <c r="B146" s="45" t="s">
        <v>80</v>
      </c>
      <c r="C146" s="46" t="s">
        <v>81</v>
      </c>
      <c r="D146" s="35">
        <f>COUNTIF([2]Peru!$AN:$AN,"*ma*")</f>
        <v>12</v>
      </c>
      <c r="E146" s="38">
        <f t="shared" si="21"/>
        <v>0.70588235294117652</v>
      </c>
      <c r="F146" s="35"/>
    </row>
    <row r="147" spans="1:6" outlineLevel="1" x14ac:dyDescent="0.25">
      <c r="A147" s="52"/>
      <c r="B147" s="45" t="s">
        <v>82</v>
      </c>
      <c r="C147" s="46" t="s">
        <v>83</v>
      </c>
      <c r="D147" s="35">
        <f>COUNTIF([2]Peru!$AN:$AN,"*oa*")</f>
        <v>6</v>
      </c>
      <c r="E147" s="38">
        <f t="shared" si="21"/>
        <v>0.35294117647058826</v>
      </c>
      <c r="F147" s="35"/>
    </row>
    <row r="148" spans="1:6" x14ac:dyDescent="0.25">
      <c r="A148" s="52"/>
      <c r="B148" s="45" t="s">
        <v>63</v>
      </c>
      <c r="C148" s="46" t="s">
        <v>176</v>
      </c>
      <c r="D148" s="35">
        <f>COUNTIF([2]Peru!$AN:$AN,"sgi")</f>
        <v>0</v>
      </c>
      <c r="E148" s="38">
        <f t="shared" si="21"/>
        <v>0</v>
      </c>
      <c r="F148" s="35"/>
    </row>
    <row r="149" spans="1:6" x14ac:dyDescent="0.25">
      <c r="A149" s="52"/>
      <c r="B149" s="45" t="s">
        <v>64</v>
      </c>
      <c r="C149" s="46" t="s">
        <v>84</v>
      </c>
      <c r="D149" s="35">
        <f>COUNTIF([2]Peru!$AN:$AN,"sgp")</f>
        <v>0</v>
      </c>
      <c r="E149" s="38">
        <f t="shared" si="21"/>
        <v>0</v>
      </c>
      <c r="F149" s="35"/>
    </row>
    <row r="150" spans="1:6" outlineLevel="1" x14ac:dyDescent="0.25">
      <c r="A150" s="52"/>
      <c r="B150" s="45" t="s">
        <v>66</v>
      </c>
      <c r="C150" s="47" t="s">
        <v>85</v>
      </c>
      <c r="D150" s="35">
        <f>COUNTIF([2]Peru!$AN:$AN,"ns")</f>
        <v>0</v>
      </c>
      <c r="E150" s="38">
        <f t="shared" si="21"/>
        <v>0</v>
      </c>
      <c r="F150" s="35"/>
    </row>
    <row r="151" spans="1:6" outlineLevel="1" x14ac:dyDescent="0.25">
      <c r="A151" s="52"/>
      <c r="B151" s="45"/>
      <c r="C151" s="46" t="s">
        <v>191</v>
      </c>
      <c r="D151" s="35">
        <f>COUNTBLANK([2]Peru!AN$2:$AN$18)</f>
        <v>1</v>
      </c>
      <c r="E151" s="38">
        <f t="shared" si="21"/>
        <v>5.8823529411764705E-2</v>
      </c>
      <c r="F151" s="35"/>
    </row>
    <row r="152" spans="1:6" x14ac:dyDescent="0.25">
      <c r="A152" s="52"/>
      <c r="B152" s="45"/>
      <c r="C152" s="46"/>
      <c r="D152" s="35"/>
      <c r="E152" s="38"/>
      <c r="F152" s="35"/>
    </row>
    <row r="153" spans="1:6" x14ac:dyDescent="0.25">
      <c r="A153" s="56" t="s">
        <v>149</v>
      </c>
      <c r="B153" s="56"/>
      <c r="C153" s="56" t="s">
        <v>149</v>
      </c>
      <c r="D153" s="57"/>
      <c r="E153" s="35"/>
      <c r="F153" s="35"/>
    </row>
    <row r="154" spans="1:6" x14ac:dyDescent="0.25">
      <c r="A154" s="52"/>
      <c r="B154" s="45">
        <v>4</v>
      </c>
      <c r="C154" s="47" t="s">
        <v>153</v>
      </c>
      <c r="D154" s="35">
        <f>COUNTIF([2]Peru!$AQ:$AQ,"4")</f>
        <v>14</v>
      </c>
      <c r="E154" s="38">
        <f t="shared" ref="E154:E158" si="23">D154/$D$21</f>
        <v>0.82352941176470584</v>
      </c>
      <c r="F154" s="35"/>
    </row>
    <row r="155" spans="1:6" x14ac:dyDescent="0.25">
      <c r="A155" s="52"/>
      <c r="B155" s="45">
        <v>3</v>
      </c>
      <c r="C155" s="47" t="s">
        <v>154</v>
      </c>
      <c r="D155" s="35">
        <f>COUNTIF([2]Peru!$AQ:$AQ,"3")</f>
        <v>0</v>
      </c>
      <c r="E155" s="38">
        <f t="shared" si="23"/>
        <v>0</v>
      </c>
      <c r="F155" s="35"/>
    </row>
    <row r="156" spans="1:6" x14ac:dyDescent="0.25">
      <c r="A156" s="52"/>
      <c r="B156" s="45">
        <v>2</v>
      </c>
      <c r="C156" s="47" t="s">
        <v>155</v>
      </c>
      <c r="D156" s="35">
        <f>COUNTIF([2]Peru!$AQ:$AQ,"2")</f>
        <v>1</v>
      </c>
      <c r="E156" s="38">
        <f t="shared" si="23"/>
        <v>5.8823529411764705E-2</v>
      </c>
      <c r="F156" s="35"/>
    </row>
    <row r="157" spans="1:6" x14ac:dyDescent="0.25">
      <c r="A157" s="52"/>
      <c r="B157" s="45">
        <v>1</v>
      </c>
      <c r="C157" s="47" t="s">
        <v>156</v>
      </c>
      <c r="D157" s="35">
        <f>COUNTIF([2]Peru!$AQ:$AQ,"1")</f>
        <v>0</v>
      </c>
      <c r="E157" s="38">
        <f t="shared" si="23"/>
        <v>0</v>
      </c>
      <c r="F157" s="35"/>
    </row>
    <row r="158" spans="1:6" x14ac:dyDescent="0.25">
      <c r="A158" s="52"/>
      <c r="B158" s="45">
        <v>0</v>
      </c>
      <c r="C158" s="46" t="s">
        <v>165</v>
      </c>
      <c r="D158" s="35">
        <f>COUNTIF([2]Peru!$AQ:$AQ,"0")</f>
        <v>2</v>
      </c>
      <c r="E158" s="38">
        <f t="shared" si="23"/>
        <v>0.11764705882352941</v>
      </c>
      <c r="F158" s="35"/>
    </row>
    <row r="159" spans="1:6" x14ac:dyDescent="0.25">
      <c r="A159" s="52"/>
      <c r="B159" s="45"/>
      <c r="C159" s="46"/>
      <c r="D159" s="35">
        <f>SUM(D154:D158)</f>
        <v>17</v>
      </c>
      <c r="E159" s="38"/>
      <c r="F159" s="35"/>
    </row>
    <row r="160" spans="1:6" x14ac:dyDescent="0.25">
      <c r="A160" s="52"/>
      <c r="B160" s="52"/>
      <c r="C160" s="46"/>
      <c r="D160" s="35"/>
      <c r="E160" s="35"/>
      <c r="F160" s="35"/>
    </row>
    <row r="161" spans="1:6" x14ac:dyDescent="0.25">
      <c r="A161" s="56" t="s">
        <v>168</v>
      </c>
      <c r="B161" s="56"/>
      <c r="C161" s="56"/>
      <c r="D161" s="57"/>
      <c r="E161" s="35"/>
      <c r="F161" s="35"/>
    </row>
    <row r="162" spans="1:6" x14ac:dyDescent="0.25">
      <c r="A162" s="52"/>
      <c r="B162" s="45">
        <v>4</v>
      </c>
      <c r="C162" s="47" t="s">
        <v>169</v>
      </c>
      <c r="D162" s="35">
        <f>COUNTIF([2]Peru!$AR:$AR,"4")+COUNTIF([2]Peru!$DE:$DE,"4")</f>
        <v>14</v>
      </c>
      <c r="E162" s="38">
        <f t="shared" ref="E162:E166" si="24">D162/$D$21</f>
        <v>0.82352941176470584</v>
      </c>
      <c r="F162" s="35"/>
    </row>
    <row r="163" spans="1:6" x14ac:dyDescent="0.25">
      <c r="A163" s="52"/>
      <c r="B163" s="45">
        <v>3</v>
      </c>
      <c r="C163" s="47" t="s">
        <v>154</v>
      </c>
      <c r="D163" s="35">
        <f>COUNTIF([2]Peru!$AR:$AR,"3")+COUNTIF([2]Peru!$DE:$DE,"3")</f>
        <v>1</v>
      </c>
      <c r="E163" s="38">
        <f t="shared" si="24"/>
        <v>5.8823529411764705E-2</v>
      </c>
      <c r="F163" s="35"/>
    </row>
    <row r="164" spans="1:6" x14ac:dyDescent="0.25">
      <c r="A164" s="52"/>
      <c r="B164" s="45">
        <v>2</v>
      </c>
      <c r="C164" s="47" t="s">
        <v>155</v>
      </c>
      <c r="D164" s="35">
        <f>COUNTIF([2]Peru!$AR:$AR,"2")+COUNTIF([2]Peru!$DE:$DE,"2")</f>
        <v>0</v>
      </c>
      <c r="E164" s="38">
        <f t="shared" si="24"/>
        <v>0</v>
      </c>
      <c r="F164" s="35"/>
    </row>
    <row r="165" spans="1:6" x14ac:dyDescent="0.25">
      <c r="A165" s="52"/>
      <c r="B165" s="45">
        <v>1</v>
      </c>
      <c r="C165" s="47" t="s">
        <v>156</v>
      </c>
      <c r="D165" s="35">
        <f>COUNTIF([2]Peru!$AR:$AR,"1")+COUNTIF([2]Peru!$DE:$DE,"1")</f>
        <v>1</v>
      </c>
      <c r="E165" s="38">
        <f t="shared" si="24"/>
        <v>5.8823529411764705E-2</v>
      </c>
      <c r="F165" s="35"/>
    </row>
    <row r="166" spans="1:6" x14ac:dyDescent="0.25">
      <c r="A166" s="52"/>
      <c r="B166" s="45">
        <v>0</v>
      </c>
      <c r="C166" s="46" t="s">
        <v>165</v>
      </c>
      <c r="D166" s="35">
        <f>COUNTIF([2]Peru!$AR:$AR,"0")+COUNTIF([2]Peru!$DE:$DE,"0")</f>
        <v>1</v>
      </c>
      <c r="E166" s="38">
        <f t="shared" si="24"/>
        <v>5.8823529411764705E-2</v>
      </c>
      <c r="F166" s="35"/>
    </row>
    <row r="167" spans="1:6" x14ac:dyDescent="0.25">
      <c r="A167" s="52"/>
      <c r="B167" s="45"/>
      <c r="C167" s="46"/>
      <c r="D167" s="15">
        <f>SUM(D162:D166)</f>
        <v>17</v>
      </c>
      <c r="E167" s="38"/>
      <c r="F167" s="35"/>
    </row>
    <row r="168" spans="1:6" x14ac:dyDescent="0.25">
      <c r="A168" s="52"/>
      <c r="B168" s="45"/>
      <c r="C168" s="46"/>
      <c r="E168" s="38"/>
      <c r="F168" s="35"/>
    </row>
    <row r="169" spans="1:6" x14ac:dyDescent="0.25">
      <c r="A169" s="56" t="s">
        <v>172</v>
      </c>
      <c r="B169" s="56"/>
      <c r="C169" s="56"/>
      <c r="D169" s="57"/>
      <c r="E169" s="35"/>
      <c r="F169" s="35"/>
    </row>
    <row r="170" spans="1:6" x14ac:dyDescent="0.25">
      <c r="A170" s="52"/>
      <c r="B170" s="36" t="s">
        <v>59</v>
      </c>
      <c r="C170" s="46" t="s">
        <v>173</v>
      </c>
      <c r="D170" s="35">
        <f>COUNTIF([2]Peru!$AS:$AS,"M")</f>
        <v>14</v>
      </c>
      <c r="E170" s="38">
        <f>D170/$D$173</f>
        <v>0.82352941176470584</v>
      </c>
      <c r="F170" s="35"/>
    </row>
    <row r="171" spans="1:6" x14ac:dyDescent="0.25">
      <c r="A171" s="52"/>
      <c r="B171" s="36" t="s">
        <v>170</v>
      </c>
      <c r="C171" s="36" t="s">
        <v>174</v>
      </c>
      <c r="D171" s="35">
        <f>COUNTIF([2]Peru!$AS:$AS,"t")</f>
        <v>3</v>
      </c>
      <c r="E171" s="38">
        <f>D171/$D$173</f>
        <v>0.17647058823529413</v>
      </c>
      <c r="F171" s="35"/>
    </row>
    <row r="172" spans="1:6" x14ac:dyDescent="0.25">
      <c r="A172" s="52"/>
      <c r="B172" s="36" t="s">
        <v>68</v>
      </c>
      <c r="C172" s="36" t="s">
        <v>200</v>
      </c>
      <c r="D172" s="35">
        <f>COUNTIF([2]Peru!$AS:$AS,"n/a")</f>
        <v>0</v>
      </c>
      <c r="E172" s="38">
        <f>D172/$D$173</f>
        <v>0</v>
      </c>
      <c r="F172" s="35"/>
    </row>
    <row r="173" spans="1:6" x14ac:dyDescent="0.25">
      <c r="B173" s="36" t="s">
        <v>171</v>
      </c>
      <c r="C173" s="36"/>
      <c r="D173" s="14">
        <f>SUM(D170:D172)</f>
        <v>17</v>
      </c>
      <c r="E173" s="40">
        <f>SUM(E170:E172)</f>
        <v>1</v>
      </c>
    </row>
  </sheetData>
  <conditionalFormatting sqref="J22:J23">
    <cfRule type="expression" dxfId="5" priority="5">
      <formula>#REF!="YES"</formula>
    </cfRule>
  </conditionalFormatting>
  <conditionalFormatting sqref="J22:J23">
    <cfRule type="expression" dxfId="4" priority="4">
      <formula>OR(COLUMN(J22)=2,COLUMN(J22)=3,COLUMN(J22)=7,COLUMN(J22)=18,COLUMN(J22)=24,COLUMN(J22)=30,COLUMN(J22)=36,COLUMN(J22)=42,COLUMN(J22)=44,COLUMN(J22)=59,COLUMN(J22)=73,COLUMN(J22)=88,COLUMN(J22)=107,COLUMN(J22)=109,COLUMN(J22)=110,COLUMN(J22)=112,COLUMN(J22)=119)</formula>
    </cfRule>
  </conditionalFormatting>
  <conditionalFormatting sqref="J22:J23">
    <cfRule type="expression" dxfId="3" priority="6">
      <formula>NOT(ISERROR(SEARCH("_GEM",#REF!)))</formula>
    </cfRule>
  </conditionalFormatting>
  <conditionalFormatting sqref="K22:L23">
    <cfRule type="expression" dxfId="2" priority="2">
      <formula>#REF!="YES"</formula>
    </cfRule>
  </conditionalFormatting>
  <conditionalFormatting sqref="K22:L23">
    <cfRule type="expression" dxfId="1" priority="1">
      <formula>OR(COLUMN(K22)=2,COLUMN(K22)=3,COLUMN(K22)=7,COLUMN(K22)=18,COLUMN(K22)=24,COLUMN(K22)=30,COLUMN(K22)=36,COLUMN(K22)=42,COLUMN(K22)=44,COLUMN(K22)=59,COLUMN(K22)=73,COLUMN(K22)=88,COLUMN(K22)=107,COLUMN(K22)=109,COLUMN(K22)=110,COLUMN(K22)=112,COLUMN(K22)=119)</formula>
    </cfRule>
  </conditionalFormatting>
  <conditionalFormatting sqref="K22:L23">
    <cfRule type="expression" dxfId="0" priority="3">
      <formula>NOT(ISERROR(SEARCH("_GEM",#REF!)))</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478AC-BAE2-4FB6-BB8A-CECE1CA6D60F}">
  <dimension ref="A1:P19"/>
  <sheetViews>
    <sheetView workbookViewId="0">
      <pane ySplit="1" topLeftCell="A2" activePane="bottomLeft" state="frozen"/>
      <selection pane="bottomLeft" sqref="A1:XFD1048576"/>
    </sheetView>
  </sheetViews>
  <sheetFormatPr defaultRowHeight="15" x14ac:dyDescent="0.25"/>
  <cols>
    <col min="1" max="1" width="10.85546875" customWidth="1"/>
  </cols>
  <sheetData>
    <row r="1" spans="1:16" ht="15.75" thickBot="1" x14ac:dyDescent="0.3">
      <c r="A1" s="79" t="s">
        <v>209</v>
      </c>
      <c r="B1" s="80" t="s">
        <v>210</v>
      </c>
      <c r="C1" s="81" t="s">
        <v>227</v>
      </c>
      <c r="D1" s="82"/>
      <c r="E1" s="83"/>
      <c r="G1" s="26" t="s">
        <v>201</v>
      </c>
      <c r="H1" s="18" t="s">
        <v>202</v>
      </c>
      <c r="I1" s="72" t="s">
        <v>203</v>
      </c>
      <c r="J1" s="72" t="s">
        <v>204</v>
      </c>
      <c r="K1" s="72" t="s">
        <v>205</v>
      </c>
      <c r="L1" s="73" t="s">
        <v>206</v>
      </c>
      <c r="M1" s="74" t="s">
        <v>207</v>
      </c>
      <c r="N1" s="74">
        <v>0</v>
      </c>
      <c r="O1" s="75" t="s">
        <v>68</v>
      </c>
      <c r="P1" s="14" t="s">
        <v>171</v>
      </c>
    </row>
    <row r="2" spans="1:16" ht="24.75" thickBot="1" x14ac:dyDescent="0.3">
      <c r="A2" s="79"/>
      <c r="B2" s="80"/>
      <c r="C2" s="65" t="s">
        <v>228</v>
      </c>
      <c r="D2" s="66" t="s">
        <v>229</v>
      </c>
      <c r="E2" s="66" t="s">
        <v>230</v>
      </c>
    </row>
    <row r="3" spans="1:16" ht="15.75" thickBot="1" x14ac:dyDescent="0.3">
      <c r="A3" s="63" t="s">
        <v>211</v>
      </c>
      <c r="B3" s="64">
        <v>17</v>
      </c>
      <c r="C3" s="67">
        <v>6</v>
      </c>
      <c r="D3" s="62">
        <v>5</v>
      </c>
      <c r="E3" s="62">
        <v>6</v>
      </c>
      <c r="F3" s="16"/>
      <c r="G3" s="20">
        <v>8</v>
      </c>
      <c r="H3" s="20">
        <v>2</v>
      </c>
      <c r="I3" s="20">
        <v>2</v>
      </c>
      <c r="J3" s="20">
        <v>2</v>
      </c>
      <c r="K3" s="20">
        <v>0</v>
      </c>
      <c r="L3" s="20">
        <v>1</v>
      </c>
      <c r="M3" s="20">
        <v>0</v>
      </c>
      <c r="N3" s="20">
        <v>2</v>
      </c>
      <c r="O3" s="20">
        <v>0</v>
      </c>
      <c r="P3">
        <v>17</v>
      </c>
    </row>
    <row r="4" spans="1:16" ht="15.75" thickBot="1" x14ac:dyDescent="0.3">
      <c r="A4" s="63" t="s">
        <v>212</v>
      </c>
      <c r="B4" s="64">
        <v>1</v>
      </c>
      <c r="C4" s="68"/>
      <c r="D4" s="69"/>
      <c r="E4" s="62">
        <v>1</v>
      </c>
      <c r="F4" s="20"/>
      <c r="G4" s="20">
        <v>1</v>
      </c>
      <c r="H4" s="20"/>
      <c r="I4" s="20"/>
      <c r="J4" s="20"/>
      <c r="K4" s="20"/>
      <c r="L4" s="20"/>
      <c r="M4" s="20"/>
      <c r="N4" s="20"/>
      <c r="O4" s="20"/>
      <c r="P4">
        <v>1</v>
      </c>
    </row>
    <row r="5" spans="1:16" ht="15.75" thickBot="1" x14ac:dyDescent="0.3">
      <c r="A5" s="63" t="s">
        <v>213</v>
      </c>
      <c r="B5" s="64">
        <v>5</v>
      </c>
      <c r="C5" s="67">
        <v>5</v>
      </c>
      <c r="D5" s="69"/>
      <c r="E5" s="69"/>
      <c r="F5" s="20"/>
      <c r="G5" s="20">
        <v>4</v>
      </c>
      <c r="H5" s="20"/>
      <c r="I5" s="20"/>
      <c r="J5" s="20"/>
      <c r="K5" s="20"/>
      <c r="L5" s="20">
        <v>1</v>
      </c>
      <c r="M5" s="20"/>
      <c r="N5" s="20"/>
      <c r="O5" s="20"/>
      <c r="P5">
        <v>5</v>
      </c>
    </row>
    <row r="6" spans="1:16" ht="15.75" thickBot="1" x14ac:dyDescent="0.3">
      <c r="A6" s="63" t="s">
        <v>214</v>
      </c>
      <c r="B6" s="64">
        <v>16</v>
      </c>
      <c r="C6" s="67">
        <v>7</v>
      </c>
      <c r="D6" s="62">
        <v>2</v>
      </c>
      <c r="E6" s="62">
        <v>7</v>
      </c>
      <c r="F6" s="20"/>
      <c r="G6" s="20">
        <v>9</v>
      </c>
      <c r="H6" s="20">
        <v>0</v>
      </c>
      <c r="I6" s="20">
        <v>1</v>
      </c>
      <c r="J6" s="20">
        <v>0</v>
      </c>
      <c r="K6" s="20">
        <v>1</v>
      </c>
      <c r="L6" s="20"/>
      <c r="M6" s="20">
        <v>1</v>
      </c>
      <c r="N6" s="20">
        <v>4</v>
      </c>
      <c r="O6" s="20">
        <v>0</v>
      </c>
      <c r="P6">
        <v>16</v>
      </c>
    </row>
    <row r="7" spans="1:16" ht="15.75" thickBot="1" x14ac:dyDescent="0.3">
      <c r="A7" s="63" t="s">
        <v>215</v>
      </c>
      <c r="B7" s="64">
        <v>55</v>
      </c>
      <c r="C7" s="67">
        <v>24</v>
      </c>
      <c r="D7" s="62">
        <v>8</v>
      </c>
      <c r="E7" s="62">
        <v>23</v>
      </c>
      <c r="F7" s="20"/>
      <c r="G7" s="20">
        <v>38</v>
      </c>
      <c r="H7" s="20">
        <v>2</v>
      </c>
      <c r="I7" s="20">
        <v>6</v>
      </c>
      <c r="J7" s="20">
        <v>0</v>
      </c>
      <c r="K7" s="20">
        <v>1</v>
      </c>
      <c r="L7" s="20">
        <v>2</v>
      </c>
      <c r="M7" s="20">
        <v>0</v>
      </c>
      <c r="N7" s="20">
        <v>4</v>
      </c>
      <c r="O7" s="20">
        <v>2</v>
      </c>
      <c r="P7">
        <v>55</v>
      </c>
    </row>
    <row r="8" spans="1:16" ht="15.75" thickBot="1" x14ac:dyDescent="0.3">
      <c r="A8" s="63" t="s">
        <v>216</v>
      </c>
      <c r="B8" s="64">
        <v>4</v>
      </c>
      <c r="C8" s="67">
        <v>1</v>
      </c>
      <c r="D8" s="62">
        <v>2</v>
      </c>
      <c r="E8" s="62">
        <v>1</v>
      </c>
      <c r="G8" s="20">
        <v>2</v>
      </c>
      <c r="H8" s="20"/>
      <c r="I8" s="20">
        <v>1</v>
      </c>
      <c r="J8" s="20"/>
      <c r="K8" s="20"/>
      <c r="L8" s="20">
        <v>1</v>
      </c>
      <c r="M8" s="20"/>
      <c r="N8" s="20"/>
      <c r="O8" s="20"/>
      <c r="P8">
        <v>4</v>
      </c>
    </row>
    <row r="9" spans="1:16" ht="15.75" thickBot="1" x14ac:dyDescent="0.3">
      <c r="A9" s="63" t="s">
        <v>217</v>
      </c>
      <c r="B9" s="64">
        <v>8</v>
      </c>
      <c r="C9" s="67">
        <v>1</v>
      </c>
      <c r="D9" s="69"/>
      <c r="E9" s="62">
        <v>7</v>
      </c>
      <c r="G9" s="20">
        <v>4</v>
      </c>
      <c r="H9" s="20"/>
      <c r="I9" s="20">
        <v>1</v>
      </c>
      <c r="J9" s="20"/>
      <c r="K9" s="20"/>
      <c r="L9" s="20"/>
      <c r="M9" s="20">
        <v>2</v>
      </c>
      <c r="N9" s="20">
        <v>1</v>
      </c>
      <c r="O9" s="20"/>
      <c r="P9">
        <v>8</v>
      </c>
    </row>
    <row r="10" spans="1:16" ht="30.75" thickBot="1" x14ac:dyDescent="0.3">
      <c r="A10" s="63" t="s">
        <v>218</v>
      </c>
      <c r="B10" s="64">
        <v>7</v>
      </c>
      <c r="C10" s="67">
        <v>1</v>
      </c>
      <c r="D10" s="69"/>
      <c r="E10" s="62">
        <v>6</v>
      </c>
      <c r="G10" s="20">
        <v>5</v>
      </c>
      <c r="H10" s="20"/>
      <c r="I10" s="20"/>
      <c r="J10" s="20"/>
      <c r="K10" s="20"/>
      <c r="L10" s="20">
        <v>1</v>
      </c>
      <c r="M10" s="20"/>
      <c r="N10" s="20">
        <v>1</v>
      </c>
      <c r="O10" s="20"/>
      <c r="P10">
        <v>7</v>
      </c>
    </row>
    <row r="11" spans="1:16" ht="15.75" thickBot="1" x14ac:dyDescent="0.3">
      <c r="A11" s="63" t="s">
        <v>219</v>
      </c>
      <c r="B11" s="64">
        <v>33</v>
      </c>
      <c r="C11" s="67">
        <v>6</v>
      </c>
      <c r="D11" s="62">
        <v>8</v>
      </c>
      <c r="E11" s="62">
        <v>19</v>
      </c>
      <c r="G11" s="20">
        <v>25</v>
      </c>
      <c r="H11" s="20">
        <v>1</v>
      </c>
      <c r="I11" s="20">
        <v>3</v>
      </c>
      <c r="J11" s="20">
        <v>0</v>
      </c>
      <c r="K11" s="20">
        <v>1</v>
      </c>
      <c r="L11" s="20">
        <v>0</v>
      </c>
      <c r="M11" s="20">
        <v>0</v>
      </c>
      <c r="N11" s="20">
        <v>3</v>
      </c>
      <c r="O11" s="20">
        <v>0</v>
      </c>
      <c r="P11">
        <v>33</v>
      </c>
    </row>
    <row r="12" spans="1:16" ht="15.75" thickBot="1" x14ac:dyDescent="0.3">
      <c r="A12" s="63" t="s">
        <v>220</v>
      </c>
      <c r="B12" s="64">
        <v>4</v>
      </c>
      <c r="C12" s="67">
        <v>1</v>
      </c>
      <c r="D12" s="69"/>
      <c r="E12" s="62">
        <v>3</v>
      </c>
      <c r="G12" s="20">
        <v>2</v>
      </c>
      <c r="H12" s="20"/>
      <c r="I12" s="20">
        <v>1</v>
      </c>
      <c r="J12" s="20"/>
      <c r="K12" s="20"/>
      <c r="L12" s="20"/>
      <c r="M12" s="20"/>
      <c r="N12" s="20"/>
      <c r="O12" s="20">
        <v>1</v>
      </c>
      <c r="P12">
        <v>4</v>
      </c>
    </row>
    <row r="13" spans="1:16" ht="15.75" thickBot="1" x14ac:dyDescent="0.3">
      <c r="A13" s="63" t="s">
        <v>221</v>
      </c>
      <c r="B13" s="64">
        <v>1</v>
      </c>
      <c r="C13" s="68"/>
      <c r="D13" s="62">
        <v>1</v>
      </c>
      <c r="E13" s="69"/>
      <c r="G13" s="20">
        <v>1</v>
      </c>
      <c r="H13" s="20"/>
      <c r="I13" s="20"/>
      <c r="J13" s="20"/>
      <c r="K13" s="20"/>
      <c r="L13" s="20"/>
      <c r="M13" s="20"/>
      <c r="N13" s="20"/>
      <c r="O13" s="20"/>
      <c r="P13">
        <v>1</v>
      </c>
    </row>
    <row r="14" spans="1:16" ht="15.75" thickBot="1" x14ac:dyDescent="0.3">
      <c r="A14" s="63" t="s">
        <v>222</v>
      </c>
      <c r="B14" s="64">
        <v>10</v>
      </c>
      <c r="C14" s="70">
        <v>5</v>
      </c>
      <c r="D14" s="71">
        <v>1</v>
      </c>
      <c r="E14" s="71">
        <v>4</v>
      </c>
      <c r="G14" s="20">
        <v>8</v>
      </c>
      <c r="H14" s="20">
        <v>0</v>
      </c>
      <c r="I14" s="20">
        <v>0</v>
      </c>
      <c r="J14" s="20">
        <v>0</v>
      </c>
      <c r="K14" s="20">
        <v>0</v>
      </c>
      <c r="L14" s="20">
        <v>1</v>
      </c>
      <c r="M14" s="20">
        <v>1</v>
      </c>
      <c r="N14" s="20">
        <v>0</v>
      </c>
      <c r="O14" s="20">
        <v>0</v>
      </c>
      <c r="P14">
        <v>10</v>
      </c>
    </row>
    <row r="15" spans="1:16" ht="15.75" thickBot="1" x14ac:dyDescent="0.3">
      <c r="A15" s="63" t="s">
        <v>223</v>
      </c>
      <c r="B15" s="64">
        <v>17</v>
      </c>
      <c r="C15" s="70">
        <v>6</v>
      </c>
      <c r="D15" s="71">
        <v>1</v>
      </c>
      <c r="E15" s="71">
        <v>10</v>
      </c>
      <c r="G15" s="20">
        <v>11</v>
      </c>
      <c r="H15" s="20">
        <v>3</v>
      </c>
      <c r="I15" s="20">
        <v>1</v>
      </c>
      <c r="J15" s="20">
        <v>0</v>
      </c>
      <c r="K15" s="20">
        <v>0</v>
      </c>
      <c r="L15" s="20">
        <v>1</v>
      </c>
      <c r="M15" s="20">
        <v>0</v>
      </c>
      <c r="N15" s="20">
        <v>1</v>
      </c>
      <c r="O15" s="20">
        <v>0</v>
      </c>
      <c r="P15">
        <v>17</v>
      </c>
    </row>
    <row r="16" spans="1:16" ht="15.75" thickBot="1" x14ac:dyDescent="0.3">
      <c r="A16" s="63" t="s">
        <v>224</v>
      </c>
      <c r="B16" s="64">
        <v>6</v>
      </c>
      <c r="C16" s="70">
        <v>2</v>
      </c>
      <c r="D16" s="71">
        <v>2</v>
      </c>
      <c r="E16" s="71">
        <v>2</v>
      </c>
      <c r="G16" s="20">
        <v>5</v>
      </c>
      <c r="H16" s="20">
        <v>1</v>
      </c>
      <c r="I16" s="20"/>
      <c r="J16" s="20"/>
      <c r="K16" s="20"/>
      <c r="L16" s="20"/>
      <c r="M16" s="20"/>
      <c r="N16" s="20"/>
      <c r="O16" s="20"/>
      <c r="P16">
        <v>6</v>
      </c>
    </row>
    <row r="17" spans="1:16" ht="30.75" thickBot="1" x14ac:dyDescent="0.3">
      <c r="A17" s="63" t="s">
        <v>225</v>
      </c>
      <c r="B17" s="64">
        <v>7</v>
      </c>
      <c r="C17" s="70">
        <v>2</v>
      </c>
      <c r="D17" s="71">
        <v>1</v>
      </c>
      <c r="E17" s="71">
        <v>4</v>
      </c>
      <c r="G17" s="20">
        <v>3</v>
      </c>
      <c r="H17" s="20"/>
      <c r="I17" s="20">
        <v>2</v>
      </c>
      <c r="J17" s="20"/>
      <c r="K17" s="20">
        <v>1</v>
      </c>
      <c r="L17" s="20">
        <v>1</v>
      </c>
      <c r="M17" s="20">
        <v>0</v>
      </c>
      <c r="N17" s="20">
        <v>0</v>
      </c>
      <c r="O17" s="20">
        <v>0</v>
      </c>
      <c r="P17">
        <v>7</v>
      </c>
    </row>
    <row r="18" spans="1:16" ht="15.75" thickBot="1" x14ac:dyDescent="0.3">
      <c r="A18" s="63" t="s">
        <v>226</v>
      </c>
      <c r="B18" s="64">
        <v>10</v>
      </c>
      <c r="C18" s="70">
        <v>1</v>
      </c>
      <c r="D18" s="71">
        <v>3</v>
      </c>
      <c r="E18" s="71">
        <v>6</v>
      </c>
      <c r="G18" s="20">
        <v>6</v>
      </c>
      <c r="H18" s="20">
        <v>0</v>
      </c>
      <c r="I18" s="20">
        <v>2</v>
      </c>
      <c r="J18" s="20">
        <v>0</v>
      </c>
      <c r="K18" s="20">
        <v>0</v>
      </c>
      <c r="L18" s="20">
        <v>1</v>
      </c>
      <c r="M18" s="20">
        <v>0</v>
      </c>
      <c r="N18" s="20">
        <v>1</v>
      </c>
      <c r="O18" s="20">
        <v>0</v>
      </c>
      <c r="P18">
        <v>10</v>
      </c>
    </row>
    <row r="19" spans="1:16" x14ac:dyDescent="0.25">
      <c r="B19">
        <f>SUM(B3:B18)</f>
        <v>201</v>
      </c>
      <c r="P19">
        <v>201</v>
      </c>
    </row>
  </sheetData>
  <mergeCells count="3">
    <mergeCell ref="A1:A2"/>
    <mergeCell ref="B1:B2"/>
    <mergeCell ref="C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47FD3-045A-47BE-B1D5-A8A18F8ACBC0}">
  <dimension ref="A1:K19"/>
  <sheetViews>
    <sheetView workbookViewId="0">
      <selection sqref="A1:XFD1048576"/>
    </sheetView>
  </sheetViews>
  <sheetFormatPr defaultRowHeight="12.75" outlineLevelRow="1" x14ac:dyDescent="0.2"/>
  <cols>
    <col min="1" max="1" width="17.85546875" style="16" customWidth="1"/>
    <col min="2" max="2" width="8.7109375" style="20" hidden="1" customWidth="1"/>
    <col min="3" max="3" width="8.7109375" style="20" customWidth="1"/>
    <col min="4" max="4" width="8.7109375" style="20" hidden="1" customWidth="1"/>
    <col min="5" max="5" width="8.7109375" style="20" customWidth="1"/>
    <col min="6" max="6" width="8.7109375" style="20" hidden="1" customWidth="1"/>
    <col min="7" max="7" width="8.7109375" style="20" customWidth="1"/>
    <col min="8" max="8" width="8.7109375" style="20" hidden="1" customWidth="1"/>
    <col min="9" max="9" width="8.7109375" style="20" customWidth="1"/>
    <col min="10" max="10" width="8.7109375" style="20" hidden="1" customWidth="1"/>
    <col min="11" max="11" width="8.7109375" style="20" customWidth="1"/>
    <col min="12" max="16384" width="9.140625" style="16"/>
  </cols>
  <sheetData>
    <row r="1" spans="1:11" ht="38.25" outlineLevel="1" x14ac:dyDescent="0.2">
      <c r="B1" s="17" t="s">
        <v>199</v>
      </c>
      <c r="C1" s="17" t="s">
        <v>187</v>
      </c>
      <c r="D1" s="17" t="s">
        <v>179</v>
      </c>
      <c r="E1" s="17" t="s">
        <v>188</v>
      </c>
      <c r="F1" s="17" t="s">
        <v>180</v>
      </c>
      <c r="G1" s="17" t="s">
        <v>189</v>
      </c>
      <c r="H1" s="17" t="s">
        <v>181</v>
      </c>
      <c r="I1" s="17" t="s">
        <v>190</v>
      </c>
      <c r="J1" s="17" t="s">
        <v>182</v>
      </c>
      <c r="K1" s="17" t="s">
        <v>167</v>
      </c>
    </row>
    <row r="2" spans="1:11" ht="25.5" outlineLevel="1" x14ac:dyDescent="0.2">
      <c r="A2" s="19" t="s">
        <v>169</v>
      </c>
      <c r="B2" s="20">
        <f>'Design Data'!D47</f>
        <v>14</v>
      </c>
      <c r="C2" s="21">
        <f>B2/$B$7</f>
        <v>0.82352941176470584</v>
      </c>
      <c r="D2" s="20">
        <f>'Design Data'!D81</f>
        <v>13</v>
      </c>
      <c r="E2" s="21">
        <f>D2/$B$7</f>
        <v>0.76470588235294112</v>
      </c>
      <c r="F2" s="20">
        <f>'Design Data'!D115</f>
        <v>14</v>
      </c>
      <c r="G2" s="21">
        <f t="shared" ref="G2:G6" si="0">F2/$B$7</f>
        <v>0.82352941176470584</v>
      </c>
      <c r="H2" s="20">
        <f>'Design Data'!D154</f>
        <v>14</v>
      </c>
      <c r="I2" s="21">
        <f t="shared" ref="I2:I6" si="1">H2/$B$7</f>
        <v>0.82352941176470584</v>
      </c>
      <c r="J2" s="20">
        <f>'Design Data'!D162</f>
        <v>14</v>
      </c>
      <c r="K2" s="21">
        <f t="shared" ref="K2:K6" si="2">J2/$B$7</f>
        <v>0.82352941176470584</v>
      </c>
    </row>
    <row r="3" spans="1:11" ht="25.5" outlineLevel="1" x14ac:dyDescent="0.2">
      <c r="A3" s="19" t="s">
        <v>196</v>
      </c>
      <c r="B3" s="20">
        <f>'Design Data'!D48</f>
        <v>0</v>
      </c>
      <c r="C3" s="21">
        <f t="shared" ref="C3:C6" si="3">B3/$B$7</f>
        <v>0</v>
      </c>
      <c r="D3" s="20">
        <f>'Design Data'!D82</f>
        <v>0</v>
      </c>
      <c r="E3" s="21">
        <f t="shared" ref="E3:E6" si="4">D3/$B$7</f>
        <v>0</v>
      </c>
      <c r="F3" s="20">
        <f>'Design Data'!D116</f>
        <v>1</v>
      </c>
      <c r="G3" s="21">
        <f t="shared" si="0"/>
        <v>5.8823529411764705E-2</v>
      </c>
      <c r="H3" s="20">
        <f>'Design Data'!D155</f>
        <v>0</v>
      </c>
      <c r="I3" s="21">
        <f t="shared" si="1"/>
        <v>0</v>
      </c>
      <c r="J3" s="20">
        <f>'Design Data'!D163</f>
        <v>1</v>
      </c>
      <c r="K3" s="21">
        <f t="shared" si="2"/>
        <v>5.8823529411764705E-2</v>
      </c>
    </row>
    <row r="4" spans="1:11" ht="25.5" outlineLevel="1" x14ac:dyDescent="0.2">
      <c r="A4" s="19" t="s">
        <v>197</v>
      </c>
      <c r="B4" s="20">
        <f>'Design Data'!D49</f>
        <v>0</v>
      </c>
      <c r="C4" s="21">
        <f t="shared" si="3"/>
        <v>0</v>
      </c>
      <c r="D4" s="20">
        <f>'Design Data'!D83</f>
        <v>2</v>
      </c>
      <c r="E4" s="21">
        <f t="shared" si="4"/>
        <v>0.11764705882352941</v>
      </c>
      <c r="F4" s="20">
        <f>'Design Data'!D117</f>
        <v>0</v>
      </c>
      <c r="G4" s="21">
        <f t="shared" si="0"/>
        <v>0</v>
      </c>
      <c r="H4" s="20">
        <f>'Design Data'!D156</f>
        <v>1</v>
      </c>
      <c r="I4" s="21">
        <f t="shared" si="1"/>
        <v>5.8823529411764705E-2</v>
      </c>
      <c r="J4" s="20">
        <f>'Design Data'!D164</f>
        <v>0</v>
      </c>
      <c r="K4" s="21">
        <f t="shared" si="2"/>
        <v>0</v>
      </c>
    </row>
    <row r="5" spans="1:11" ht="25.5" outlineLevel="1" x14ac:dyDescent="0.2">
      <c r="A5" s="19" t="s">
        <v>198</v>
      </c>
      <c r="B5" s="20">
        <f>'Design Data'!D50</f>
        <v>0</v>
      </c>
      <c r="C5" s="21">
        <f t="shared" si="3"/>
        <v>0</v>
      </c>
      <c r="D5" s="20">
        <f>'Design Data'!D84</f>
        <v>1</v>
      </c>
      <c r="E5" s="21">
        <f t="shared" si="4"/>
        <v>5.8823529411764705E-2</v>
      </c>
      <c r="F5" s="20">
        <f>'Design Data'!D118</f>
        <v>1</v>
      </c>
      <c r="G5" s="21">
        <f t="shared" si="0"/>
        <v>5.8823529411764705E-2</v>
      </c>
      <c r="H5" s="20">
        <f>'Design Data'!D157</f>
        <v>0</v>
      </c>
      <c r="I5" s="21">
        <f t="shared" si="1"/>
        <v>0</v>
      </c>
      <c r="J5" s="20">
        <f>'Design Data'!D165</f>
        <v>1</v>
      </c>
      <c r="K5" s="21">
        <f t="shared" si="2"/>
        <v>5.8823529411764705E-2</v>
      </c>
    </row>
    <row r="6" spans="1:11" ht="25.5" x14ac:dyDescent="0.2">
      <c r="A6" s="19" t="s">
        <v>175</v>
      </c>
      <c r="B6" s="20">
        <f>'Design Data'!D51</f>
        <v>3</v>
      </c>
      <c r="C6" s="21">
        <f t="shared" si="3"/>
        <v>0.17647058823529413</v>
      </c>
      <c r="D6" s="20">
        <f>'Design Data'!D85</f>
        <v>1</v>
      </c>
      <c r="E6" s="21">
        <f t="shared" si="4"/>
        <v>5.8823529411764705E-2</v>
      </c>
      <c r="F6" s="20">
        <f>'Design Data'!D119</f>
        <v>1</v>
      </c>
      <c r="G6" s="21">
        <f t="shared" si="0"/>
        <v>5.8823529411764705E-2</v>
      </c>
      <c r="H6" s="20">
        <f>'Design Data'!D158</f>
        <v>2</v>
      </c>
      <c r="I6" s="21">
        <f t="shared" si="1"/>
        <v>0.11764705882352941</v>
      </c>
      <c r="J6" s="20">
        <f>'Design Data'!D166</f>
        <v>1</v>
      </c>
      <c r="K6" s="21">
        <f t="shared" si="2"/>
        <v>5.8823529411764705E-2</v>
      </c>
    </row>
    <row r="7" spans="1:11" x14ac:dyDescent="0.2">
      <c r="B7" s="20">
        <f>SUM(B2:B6)</f>
        <v>17</v>
      </c>
      <c r="D7" s="20">
        <f>SUM(D2:D6)</f>
        <v>17</v>
      </c>
      <c r="F7" s="20">
        <f>SUM(F2:F6)</f>
        <v>17</v>
      </c>
      <c r="H7" s="20">
        <f>SUM(H2:H6)</f>
        <v>17</v>
      </c>
      <c r="J7" s="20">
        <f>SUM(J2:J6)</f>
        <v>17</v>
      </c>
    </row>
    <row r="8" spans="1:11" x14ac:dyDescent="0.2">
      <c r="A8" s="16" t="s">
        <v>208</v>
      </c>
    </row>
    <row r="9" spans="1:11" x14ac:dyDescent="0.2">
      <c r="A9" s="16" t="s">
        <v>201</v>
      </c>
      <c r="C9" s="20">
        <f>COUNTIF([2]Peru!$DH:$DH,"4M")</f>
        <v>11</v>
      </c>
      <c r="E9" s="21">
        <f t="shared" ref="E9:E18" si="5">C9/$C$19</f>
        <v>0.6470588235294118</v>
      </c>
    </row>
    <row r="10" spans="1:11" x14ac:dyDescent="0.2">
      <c r="A10" s="28" t="s">
        <v>202</v>
      </c>
      <c r="B10" s="29"/>
      <c r="C10" s="20">
        <f>COUNTIF([2]Peru!$DH:$DH,"4T")</f>
        <v>3</v>
      </c>
      <c r="D10" s="19"/>
      <c r="E10" s="21">
        <f t="shared" si="5"/>
        <v>0.17647058823529413</v>
      </c>
      <c r="F10" s="19"/>
      <c r="G10" s="19"/>
      <c r="H10" s="22"/>
    </row>
    <row r="11" spans="1:11" x14ac:dyDescent="0.2">
      <c r="A11" s="30" t="s">
        <v>203</v>
      </c>
      <c r="B11" s="31"/>
      <c r="C11" s="20">
        <f>COUNTIF([2]Peru!$DH:$DH,"3M")</f>
        <v>1</v>
      </c>
      <c r="D11" s="16"/>
      <c r="E11" s="21">
        <f t="shared" si="5"/>
        <v>5.8823529411764705E-2</v>
      </c>
      <c r="G11" s="23"/>
      <c r="H11" s="16"/>
    </row>
    <row r="12" spans="1:11" x14ac:dyDescent="0.2">
      <c r="A12" s="30" t="s">
        <v>204</v>
      </c>
      <c r="B12" s="31"/>
      <c r="C12" s="20">
        <f>COUNTIF([2]Peru!$DH:$DH,"3T")</f>
        <v>0</v>
      </c>
      <c r="D12" s="16"/>
      <c r="E12" s="21">
        <f t="shared" si="5"/>
        <v>0</v>
      </c>
      <c r="G12" s="23"/>
      <c r="H12" s="16"/>
    </row>
    <row r="13" spans="1:11" x14ac:dyDescent="0.2">
      <c r="A13" s="30" t="s">
        <v>205</v>
      </c>
      <c r="B13" s="31"/>
      <c r="C13" s="20">
        <f>COUNTIF([2]Peru!$DH:$DH,"2M")</f>
        <v>0</v>
      </c>
      <c r="D13" s="16"/>
      <c r="E13" s="21">
        <f t="shared" si="5"/>
        <v>0</v>
      </c>
      <c r="G13" s="23"/>
      <c r="H13" s="16"/>
    </row>
    <row r="14" spans="1:11" x14ac:dyDescent="0.2">
      <c r="A14" s="30" t="s">
        <v>231</v>
      </c>
      <c r="B14" s="31"/>
      <c r="C14" s="20">
        <f>COUNTIF([2]Peru!$DH:$DH,"2T")</f>
        <v>0</v>
      </c>
      <c r="D14" s="16"/>
      <c r="E14" s="21">
        <f t="shared" si="5"/>
        <v>0</v>
      </c>
      <c r="G14" s="23"/>
      <c r="H14" s="16"/>
    </row>
    <row r="15" spans="1:11" x14ac:dyDescent="0.2">
      <c r="A15" s="25" t="s">
        <v>206</v>
      </c>
      <c r="B15" s="31"/>
      <c r="C15" s="20">
        <f>COUNTIF([2]Peru!$DH:$DH,"1M")</f>
        <v>1</v>
      </c>
      <c r="D15" s="16"/>
      <c r="E15" s="21">
        <f t="shared" si="5"/>
        <v>5.8823529411764705E-2</v>
      </c>
      <c r="G15" s="24"/>
      <c r="H15" s="16"/>
    </row>
    <row r="16" spans="1:11" x14ac:dyDescent="0.2">
      <c r="A16" s="32" t="s">
        <v>207</v>
      </c>
      <c r="B16" s="31"/>
      <c r="C16" s="20">
        <f>COUNTIF([2]Peru!$DH:$DH,"1T")</f>
        <v>0</v>
      </c>
      <c r="D16" s="16"/>
      <c r="E16" s="21">
        <f t="shared" si="5"/>
        <v>0</v>
      </c>
      <c r="G16" s="24"/>
      <c r="H16" s="16"/>
    </row>
    <row r="17" spans="1:8" x14ac:dyDescent="0.2">
      <c r="A17" s="32">
        <v>0</v>
      </c>
      <c r="B17" s="31"/>
      <c r="C17" s="20">
        <f>COUNTIF([2]Peru!$DH:$DH,"0M")</f>
        <v>1</v>
      </c>
      <c r="D17" s="16"/>
      <c r="E17" s="21">
        <f t="shared" si="5"/>
        <v>5.8823529411764705E-2</v>
      </c>
      <c r="G17" s="24"/>
      <c r="H17" s="16"/>
    </row>
    <row r="18" spans="1:8" x14ac:dyDescent="0.2">
      <c r="A18" s="33" t="s">
        <v>68</v>
      </c>
      <c r="B18" s="34"/>
      <c r="C18" s="20">
        <f>COUNTIF([2]Peru!$DH:$DH,"NA")</f>
        <v>0</v>
      </c>
      <c r="D18" s="16"/>
      <c r="E18" s="21">
        <f t="shared" si="5"/>
        <v>0</v>
      </c>
      <c r="G18" s="24"/>
      <c r="H18" s="26"/>
    </row>
    <row r="19" spans="1:8" x14ac:dyDescent="0.2">
      <c r="C19" s="20">
        <f>SUM(C9:C18)</f>
        <v>17</v>
      </c>
      <c r="E19" s="21">
        <f>SUM(E9:E18)</f>
        <v>1</v>
      </c>
    </row>
  </sheetData>
  <pageMargins left="0.7" right="0.7" top="0.75" bottom="0.75" header="0.3" footer="0.3"/>
  <ignoredErrors>
    <ignoredError sqref="D6:I6 D2:I2 D3:I3 D4:I4 D5:I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18</vt:i4>
      </vt:variant>
    </vt:vector>
  </HeadingPairs>
  <TitlesOfParts>
    <vt:vector size="22" baseType="lpstr">
      <vt:lpstr>Intro</vt:lpstr>
      <vt:lpstr>Design Data</vt:lpstr>
      <vt:lpstr>Countries</vt:lpstr>
      <vt:lpstr>Coding Data</vt:lpstr>
      <vt:lpstr>GAM Codes</vt:lpstr>
      <vt:lpstr>GEM Codes</vt:lpstr>
      <vt:lpstr>Project Focus</vt:lpstr>
      <vt:lpstr>Design - Analysis</vt:lpstr>
      <vt:lpstr>Analysis - gender</vt:lpstr>
      <vt:lpstr>Analysis - Age</vt:lpstr>
      <vt:lpstr>GEM A Results</vt:lpstr>
      <vt:lpstr>Design - Activities Tailoring</vt:lpstr>
      <vt:lpstr>Tailoring - Gender</vt:lpstr>
      <vt:lpstr>GEM D Results</vt:lpstr>
      <vt:lpstr>Design - Participation</vt:lpstr>
      <vt:lpstr>Participation - Gender</vt:lpstr>
      <vt:lpstr>Participation - Age</vt:lpstr>
      <vt:lpstr>GEM G Results</vt:lpstr>
      <vt:lpstr>Design - Benefit Indicators</vt:lpstr>
      <vt:lpstr>Benefits - Gender</vt:lpstr>
      <vt:lpstr>Benefits - Age</vt:lpstr>
      <vt:lpstr>GEM J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Imboden</dc:creator>
  <cp:lastModifiedBy>CLIFTON</cp:lastModifiedBy>
  <dcterms:created xsi:type="dcterms:W3CDTF">2018-11-24T10:00:22Z</dcterms:created>
  <dcterms:modified xsi:type="dcterms:W3CDTF">2019-10-07T22:48:51Z</dcterms:modified>
</cp:coreProperties>
</file>